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20" firstSheet="12" activeTab="14"/>
  </bookViews>
  <sheets>
    <sheet name="งบทดลอง1" sheetId="1" r:id="rId1"/>
    <sheet name="รับ-จ่ายเงินสด (2)" sheetId="2" r:id="rId2"/>
    <sheet name="539-6-01276-5" sheetId="3" r:id="rId3"/>
    <sheet name="001-2-50657-8" sheetId="4" r:id="rId4"/>
    <sheet name="รายละเอียด" sheetId="5" r:id="rId5"/>
    <sheet name="001-4-10325-7" sheetId="6" r:id="rId6"/>
    <sheet name="001-2-62433-8" sheetId="7" r:id="rId7"/>
    <sheet name="504-0-23040-0" sheetId="8" r:id="rId8"/>
    <sheet name="ลูกหนี้เงินยืม 2" sheetId="9" r:id="rId9"/>
    <sheet name="รายจ่ายค้างจ่าย 1" sheetId="10" r:id="rId10"/>
    <sheet name="รายละเอียดเงินสะสม" sheetId="11" r:id="rId11"/>
    <sheet name="เงินอุดหนุนเฉพาะกิจ" sheetId="12" r:id="rId12"/>
    <sheet name="รายละเอียดเงินรับฝาก" sheetId="13" r:id="rId13"/>
    <sheet name="รายงานยอดเงินสะสม" sheetId="14" r:id="rId14"/>
    <sheet name="งบกระทบยอด" sheetId="15" r:id="rId15"/>
    <sheet name="ส่งใช้" sheetId="16" r:id="rId16"/>
    <sheet name="มาตรฐาน 1" sheetId="17" r:id="rId17"/>
    <sheet name="มาตรฐาน2" sheetId="18" r:id="rId18"/>
    <sheet name="มาตรฐาน 3" sheetId="19" r:id="rId19"/>
    <sheet name="Sheet2" sheetId="20" r:id="rId20"/>
    <sheet name="รายการปรับปรุงทั่วไป" sheetId="21" r:id="rId21"/>
    <sheet name="โอนเงินสินเดือน" sheetId="22" r:id="rId22"/>
    <sheet name="รายการโอน" sheetId="23" r:id="rId23"/>
    <sheet name="รายการปรับปรุงต้นปี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<sst xmlns="http://schemas.openxmlformats.org/spreadsheetml/2006/main" count="2033" uniqueCount="740">
  <si>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</si>
  <si>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</si>
  <si>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</si>
  <si>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</si>
  <si>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</si>
  <si>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</si>
  <si>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</si>
  <si>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</si>
  <si>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</si>
  <si>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เลขที่......................../2553...........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</si>
  <si>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</si>
  <si>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</si>
  <si>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</si>
  <si>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</si>
  <si>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</si>
  <si>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</si>
  <si>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</si>
  <si>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</si>
  <si>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</si>
  <si>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</si>
  <si>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</si>
  <si>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</si>
  <si>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</si>
  <si>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</si>
  <si>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</si>
  <si>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</si>
  <si>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</si>
  <si>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</si>
  <si>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</si>
  <si>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</si>
  <si>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</si>
  <si>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</si>
  <si>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</si>
  <si>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</si>
  <si>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</si>
  <si>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</si>
  <si>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</si>
  <si>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</si>
  <si>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</si>
  <si>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</si>
  <si>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</si>
  <si>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</si>
  <si>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</si>
  <si>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</si>
  <si>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</si>
  <si>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</si>
  <si>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</si>
  <si>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</si>
  <si>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</si>
  <si>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</si>
  <si>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</si>
  <si>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</si>
  <si>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</si>
  <si>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</si>
  <si>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</si>
  <si>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</si>
  <si>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</si>
  <si>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</si>
  <si>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</si>
  <si>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</si>
  <si>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</si>
  <si>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</si>
  <si>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</si>
  <si>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</si>
  <si>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</si>
  <si>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</si>
  <si>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</si>
  <si>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</si>
  <si>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</si>
  <si>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</si>
  <si>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</si>
  <si>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</si>
  <si>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</si>
  <si>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</si>
  <si>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</si>
  <si>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</si>
  <si>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</si>
  <si>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</si>
  <si>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</si>
  <si>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</si>
  <si>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</si>
  <si>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</si>
  <si>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</si>
  <si>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</si>
  <si>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</si>
  <si>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</si>
  <si>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</si>
  <si>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</si>
  <si>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</si>
  <si>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</si>
  <si>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</si>
  <si>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</si>
  <si>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</si>
  <si>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</si>
  <si>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</si>
  <si>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</si>
  <si>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</si>
  <si>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</si>
  <si>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</si>
  <si>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</si>
  <si>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</si>
  <si>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</si>
  <si>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</si>
  <si>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</si>
  <si>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</si>
  <si>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</si>
  <si>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</si>
  <si>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</si>
  <si>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</si>
  <si>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เงินฝาก ธกส. กระแสรายวัน 001-5-00135-1</t>
  </si>
  <si>
    <t>รายรับ</t>
  </si>
  <si>
    <t>หัก</t>
  </si>
  <si>
    <t>รายจ่ายจ่ายจากเงินสะสม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</si>
  <si>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</si>
  <si>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</si>
  <si>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</si>
  <si>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</si>
  <si>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</si>
  <si>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</si>
  <si>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</si>
  <si>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 xml:space="preserve">                       หัวหน้าส่วนการคลัง                      ปลัดองค์การบริหารส่วนตำบลท่าสาย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</si>
  <si>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</si>
  <si>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</si>
  <si>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</si>
  <si>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</si>
  <si>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                       หัวหน้าส่วนการคลัง                           รักษาราชการแทนปลัดอบต.ท่าสาย           นายกองค์การบริหารส่วนตำบลท่าสาย</t>
  </si>
  <si>
    <t xml:space="preserve">                    ( นางจันทรา   สุภาวสิทธิ์ )                             ( สมชาย  มะรินทร์ )                                 ( นายสมัย   รัตนจันทร์ )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</si>
  <si>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</si>
  <si>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</si>
  <si>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</si>
  <si>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                   ( นางจันทรา   สุภาวสิทธิ์ )                           ( นางเข็มทอง  สุวรรณจักร )                           ( นายสมัย   รัตนจันทร์ )</t>
  </si>
  <si>
    <t xml:space="preserve">    (ลงชื่อ)                                                             (ลงชื่อ)                                                          (ลงชื่อ)</t>
  </si>
  <si>
    <t xml:space="preserve">    (ลงชื่อ)                                                               (ลงชื่อ) จ.ส.ท.                                         (ลงชื่อ)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</si>
  <si>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</si>
  <si>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</si>
  <si>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</si>
  <si>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</si>
  <si>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</si>
  <si>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</si>
  <si>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</si>
  <si>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</si>
  <si>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</si>
  <si>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</si>
  <si>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</si>
  <si>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</si>
  <si>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</si>
  <si>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</si>
  <si>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</si>
  <si>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</si>
  <si>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</si>
  <si>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</si>
  <si>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</si>
  <si>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</si>
  <si>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</si>
  <si>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</si>
  <si>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</si>
  <si>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</si>
  <si>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</si>
  <si>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</si>
  <si>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</si>
  <si>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</si>
  <si>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</si>
  <si>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</si>
  <si>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</si>
  <si>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</si>
  <si>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</si>
  <si>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</si>
  <si>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</si>
  <si>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</si>
  <si>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</si>
  <si>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</si>
  <si>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</si>
  <si>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</si>
  <si>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</si>
  <si>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</si>
  <si>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</si>
  <si>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</si>
  <si>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</si>
  <si>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</si>
  <si>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</si>
  <si>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</si>
  <si>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</si>
  <si>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</si>
  <si>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</si>
  <si>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</si>
  <si>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</si>
  <si>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</si>
  <si>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</si>
  <si>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</si>
  <si>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</si>
  <si>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</si>
  <si>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</si>
  <si>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</si>
  <si>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</si>
  <si>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</si>
  <si>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</si>
  <si>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</si>
  <si>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</si>
  <si>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</si>
  <si>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</si>
  <si>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</si>
  <si>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</si>
  <si>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</si>
  <si>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</si>
  <si>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</si>
  <si>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</si>
  <si>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</si>
  <si>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</si>
  <si>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</si>
  <si>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</si>
  <si>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</si>
  <si>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</si>
  <si>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</si>
  <si>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</si>
  <si>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</si>
  <si>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</si>
  <si>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</si>
  <si>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</si>
  <si>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</si>
  <si>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</si>
  <si>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</si>
  <si>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</si>
  <si>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</si>
  <si>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</si>
  <si>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</si>
  <si>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</si>
  <si>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</si>
  <si>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</si>
  <si>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</si>
  <si>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</si>
  <si>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</si>
  <si>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</si>
  <si>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</si>
  <si>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</si>
  <si>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</si>
  <si>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</si>
  <si>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</si>
  <si>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</si>
  <si>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</si>
  <si>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</si>
  <si>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</si>
  <si>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</si>
  <si>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</si>
  <si>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</si>
  <si>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</si>
  <si>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</si>
  <si>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</si>
  <si>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</si>
  <si>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</si>
  <si>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</si>
  <si>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</si>
  <si>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</si>
  <si>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</si>
  <si>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</si>
  <si>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</si>
  <si>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</si>
  <si>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</si>
  <si>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</si>
  <si>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</si>
  <si>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</si>
  <si>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</si>
  <si>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</si>
  <si>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</si>
  <si>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</si>
  <si>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</si>
  <si>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</si>
  <si>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</si>
  <si>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</si>
  <si>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</si>
  <si>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</si>
  <si>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 xml:space="preserve">     107  ฝ่ายการเมือง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</si>
  <si>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</si>
  <si>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</si>
  <si>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</si>
  <si>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</si>
  <si>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</si>
  <si>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</si>
  <si>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</si>
  <si>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</si>
  <si>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</si>
  <si>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</si>
  <si>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</si>
  <si>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 xml:space="preserve">      283  วัสดุศึกษา</t>
  </si>
  <si>
    <t xml:space="preserve">    283  วัสดุอื่น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</si>
  <si>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</si>
  <si>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</si>
  <si>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</si>
  <si>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</si>
  <si>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</si>
  <si>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</si>
  <si>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</si>
  <si>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6510000</t>
  </si>
  <si>
    <t>5520000</t>
  </si>
  <si>
    <t>5220600</t>
  </si>
  <si>
    <t>622600</t>
  </si>
  <si>
    <t>5531000</t>
  </si>
  <si>
    <t>5532000</t>
  </si>
  <si>
    <t>5533000</t>
  </si>
  <si>
    <t>5534000</t>
  </si>
  <si>
    <t>110300</t>
  </si>
  <si>
    <t>300000</t>
  </si>
  <si>
    <t>320000</t>
  </si>
  <si>
    <t>รายจ่ายที่ก่อหนี้ผูกพันไว้ในปีงบประมาณ  2552 (ข้อ 57)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</si>
  <si>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</si>
  <si>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</si>
  <si>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</si>
  <si>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</si>
  <si>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</si>
  <si>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</si>
  <si>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</si>
  <si>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</si>
  <si>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</si>
  <si>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</si>
  <si>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</si>
  <si>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</si>
  <si>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</si>
  <si>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</si>
  <si>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</si>
  <si>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</si>
  <si>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</si>
  <si>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</si>
  <si>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</si>
  <si>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</si>
  <si>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</si>
  <si>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6000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</si>
  <si>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</si>
  <si>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</si>
  <si>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</si>
  <si>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</si>
  <si>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</si>
  <si>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</si>
  <si>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</si>
  <si>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</si>
  <si>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</si>
  <si>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</si>
  <si>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</si>
  <si>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</si>
  <si>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5250</t>
  </si>
  <si>
    <t>5130</t>
  </si>
  <si>
    <t xml:space="preserve"> บัญชีเงินฝาก เลขที่บัญชี  001-5-00135-1</t>
  </si>
  <si>
    <t>เงินฝาก ธกส.ออมทรัพย์ 001-2-50657-8</t>
  </si>
  <si>
    <t xml:space="preserve"> วันที่.....  30  กันยายน  2553.........</t>
  </si>
  <si>
    <t>ปรับปรุงบัญชีเงินสดฝากธกส. ออมทรัพย์ 001-2-50657-8  โดยไม่ได้ผ่านใบนำส่งเงิน</t>
  </si>
  <si>
    <t>เงินรับฝาก- คืนเงืนเล่าเรียนระดับปริญญาโท</t>
  </si>
  <si>
    <t>คืนทุนเล่าเรียนระดับปริญญาโท ของ  นายชัยทัต  เรือนแก้ว  ประจำ เดือน  กันยายน  2553</t>
  </si>
  <si>
    <t>เลขที่................................/2552...........</t>
  </si>
  <si>
    <t xml:space="preserve"> วันที่..... 30     กันยายน     2552..........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</si>
  <si>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</si>
  <si>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</si>
  <si>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ปรับปรุงรายได้ค้างรับ ( บัญชีลูกหนี้ภาษีค้างชำระ )  ประจำปีงบประมาณ พ.ศ.  2551</t>
  </si>
  <si>
    <t>บันทึกบัญชีลูกหนี้ภาษีค้างชำระปี  2552</t>
  </si>
  <si>
    <t>5200</t>
  </si>
  <si>
    <t>5270</t>
  </si>
  <si>
    <t>6270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</si>
  <si>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</si>
  <si>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</si>
  <si>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</si>
  <si>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</si>
  <si>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</si>
  <si>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</si>
  <si>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( 25,564,197.35 - 22,095,429.65 = 3,468,767.70 )  , (3,468,767.70  x 25%  =  867,191.93  )</t>
  </si>
  <si>
    <t>30</t>
  </si>
  <si>
    <t>ปรับปรุงบัญชีค่าใช้สอย (6250) เป็นค่าใช้สอย (5250) เนื่องจากลงบัญชีผิด</t>
  </si>
  <si>
    <t>เงินรับฝาก-ภาษีบำรุงท้องที่</t>
  </si>
  <si>
    <t>เงินรับฝาก-ภาษีหัก ณ ที่จ่าย</t>
  </si>
  <si>
    <t>ปรับปรุงบัญชีเงินรับฝาก-ภาษีบำรุงท้องที่เป็นเงินรับฝาก-ภาษีหัก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</si>
  <si>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</si>
  <si>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</si>
  <si>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</si>
  <si>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>เงินรับฝาก  เงินอุดหนุนเฉพาะกิจ</t>
  </si>
  <si>
    <t xml:space="preserve">เงินสะสม                                </t>
  </si>
  <si>
    <t>เงินรับฝาก -สถานีสูบน้ำด้วยไฟฟ้า</t>
  </si>
  <si>
    <t>00321</t>
  </si>
  <si>
    <t>วันที่..           ตุลาคม    2553........</t>
  </si>
  <si>
    <t>เลขที่.........1.........../2555...........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</si>
  <si>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</si>
  <si>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</si>
  <si>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</si>
  <si>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</si>
  <si>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>เงินฝาก ธกส.  ออมทรัพย์ 001-8-09841-8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</si>
  <si>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</si>
  <si>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</si>
  <si>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</si>
  <si>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</si>
  <si>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</si>
  <si>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</si>
  <si>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</si>
  <si>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</si>
  <si>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</si>
  <si>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</si>
  <si>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ภาษีบำรุงท้องที่</t>
  </si>
  <si>
    <t>ค่าธน เกี่ยวกับควบคุมอาคาร</t>
  </si>
  <si>
    <t>ค่าธน.เก็บขนขยะมูลฝอย</t>
  </si>
  <si>
    <t>ค่าใบอนุญาตเกี่ยวกับควบคุมอาคาร</t>
  </si>
  <si>
    <t>ค่าปรับอื่น ๆ</t>
  </si>
  <si>
    <t>ค่าขายแบบแปลน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</si>
  <si>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</si>
  <si>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</si>
  <si>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</si>
  <si>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</si>
  <si>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</si>
  <si>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</si>
  <si>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</si>
  <si>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</si>
  <si>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</si>
  <si>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</si>
  <si>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</si>
  <si>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</si>
  <si>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</si>
  <si>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</si>
  <si>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</si>
  <si>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</si>
  <si>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</si>
  <si>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</si>
  <si>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</si>
  <si>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</si>
  <si>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</si>
  <si>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</si>
  <si>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</si>
  <si>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</si>
  <si>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</si>
  <si>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</si>
  <si>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</si>
  <si>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</si>
  <si>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</si>
  <si>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เงินรับฝาก  รถรับส่งนักเรียน (ศูนย์พัฒนาเด็กฯ)</t>
  </si>
  <si>
    <t>เงินรับฝาก -ค่าจ้างผดดและประกันสังคม</t>
  </si>
  <si>
    <t>วันที่…30  พฤศจิกายน   2554.....</t>
  </si>
  <si>
    <t>เลขที่..............02/11/2555..............</t>
  </si>
  <si>
    <t>ภาษีป้าย</t>
  </si>
  <si>
    <t>ค่าธน.จดทะเบียนพาณิชย์และยกเลิก</t>
  </si>
  <si>
    <t>ค่าไฟฟ้า</t>
  </si>
  <si>
    <t>ค่าน้ำ</t>
  </si>
  <si>
    <t>เงินอุดหนุนทั่วไป</t>
  </si>
  <si>
    <t>6130</t>
  </si>
  <si>
    <t>เงินรับฝาก - รถรับส่งนักเรียน</t>
  </si>
  <si>
    <t>เงินรับฝาก - ค่าจ้างประจำ(สถานีสูบน้ำด้วยไฟฟ้า)</t>
  </si>
  <si>
    <t>เงินรับฝาก - ค่ารักษาพยาบาล(สถานีสูบน้ำด้วยไฟฟ้า)</t>
  </si>
  <si>
    <t>เงินรับฝาก - เงินบำนาญ (นางอุไร  ศึกษากิจ)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</si>
  <si>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พฤศจิกายน    2554</t>
    </r>
  </si>
  <si>
    <t>ค่าธน.ใบอนุญาตฯสถานที่จำหน่ายสะสมอาหาร</t>
  </si>
  <si>
    <t>ค่าธน.ใบอนุญาตฯสถานที่จำหน่ายที่ทางสาธารณะ</t>
  </si>
  <si>
    <t>ค่าธน.ปิดโอนมรดก</t>
  </si>
  <si>
    <t>รายได้อื่น</t>
  </si>
  <si>
    <t>หน่วยการแพทย์ฉุกเฉิน</t>
  </si>
  <si>
    <t>ภาษีมูลค่าเพิ่มตามพรบ</t>
  </si>
  <si>
    <t>ค่าภาคหลวงปิโตรเลี่ยม</t>
  </si>
  <si>
    <t>ค่าธน.จดทะเบียนสิทธิและนิติกรฯ</t>
  </si>
  <si>
    <t>เบี้ยยังชีพพิการ</t>
  </si>
  <si>
    <t>เบี้ยยังชีพผู้สูงอายุ</t>
  </si>
  <si>
    <t>เลขที่...........03/11/2554........</t>
  </si>
  <si>
    <t>วันที่  30  พฤศจิกายน  2554.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</si>
  <si>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 พฤศจิกายน  2554</t>
    </r>
  </si>
  <si>
    <t>วันที่  31  ธันวาคม   2554.</t>
  </si>
  <si>
    <t>เลขที่........03/12/2554........</t>
  </si>
  <si>
    <t>ดอกเบี้ยเงินฝากธนาคาร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</si>
  <si>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ธันวาคม  2554</t>
    </r>
  </si>
  <si>
    <t>วันที่  31  มกราคม   2555.</t>
  </si>
  <si>
    <t>เลขที่.......03/01/2555........</t>
  </si>
  <si>
    <t>ภาษีโรงเรือนและที่ดิน</t>
  </si>
  <si>
    <t>ภาษีบำรงท้องที่</t>
  </si>
  <si>
    <t>ค่าธน.ใบอนุญาตฯ(กิจการเป็นอันตรายต่อสุขภาพ)</t>
  </si>
  <si>
    <t>โครงการก่อสร้างถนนลาดยาง</t>
  </si>
  <si>
    <t>เงินรายรับ-โครงการก่อสร้างถนนลาดยาง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</si>
  <si>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มกราคม  2555</t>
    </r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</si>
  <si>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</si>
  <si>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เลขที่..............02/12/2555..............</t>
  </si>
  <si>
    <t>วันที่…31  ธันวาคม   2554.....</t>
  </si>
  <si>
    <t>เงินรับฝาก -เงินค้ำประกันสัญญา</t>
  </si>
  <si>
    <t xml:space="preserve">     006     บำเหน็จ</t>
  </si>
  <si>
    <t>( หมายเหตุ 3  )</t>
  </si>
  <si>
    <t>(  หมายเหตุ  4  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</si>
  <si>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ธันวาคม    2554</t>
    </r>
  </si>
  <si>
    <t>เลขที่..............02/01/2555..............</t>
  </si>
  <si>
    <t>วันที่…31  มกราคม   2555.....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</si>
  <si>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มกราคม    2555</t>
    </r>
  </si>
  <si>
    <t>วันที่..  1  ตุลาคม      2555........</t>
  </si>
  <si>
    <t>เงินฝาก ธกส.ออมทรัพย์ 0001-8-9841-8</t>
  </si>
  <si>
    <t xml:space="preserve">รายได้ค้างรับ    </t>
  </si>
  <si>
    <t xml:space="preserve">รายจ่ายรอจ่าย     </t>
  </si>
  <si>
    <t xml:space="preserve">เงินรับฝาก </t>
  </si>
  <si>
    <t>บันทึกรายการบัญชีต่าง ๆ ยกมา  หลังจากปิดบัญชีงบประมาณ  2555</t>
  </si>
  <si>
    <t>เลขที่.........2........../2555...........</t>
  </si>
  <si>
    <t xml:space="preserve">ปรับปรุงบัญชีรายได้ค้างรับเนื่องจากยกฐานะเป็นเทศบาลจะคิด 89 % เหมือน อบต. ไม่ได้ซึ่งจะต้องต้องคิด 95 % </t>
  </si>
  <si>
    <t>เลขที่.........3........../2555...........</t>
  </si>
  <si>
    <t xml:space="preserve">ปรับปรุงบัญชีรายได้ค้างรับเนื่องจากยกฐานะเป็นเทศบาลคิด  95 % </t>
  </si>
  <si>
    <t>เลขที่.........4........../2555...........</t>
  </si>
  <si>
    <t>ส่วนลดในการจัดเก็บภาษีบำรุงท้องที่ 6 %</t>
  </si>
  <si>
    <t>ปรับปรุงบัญชีส่วนลดในการจัดเก็บภาษีบำรุงท้องที่ 6 %  เข้าเงินสะสม</t>
  </si>
  <si>
    <t>ฝ่าย     การเงินและบัญชี    ทต.ท่าสาย</t>
  </si>
  <si>
    <t>หัก  เงินโอนเข้าไม่ทราบแหล่งที่มา</t>
  </si>
  <si>
    <t xml:space="preserve">          ตำแหน่ง     นักวิชาการคลัง                                                                   ตำแหน่ง   ผู้อำนวยการกองคลัง</t>
  </si>
  <si>
    <t>6533000</t>
  </si>
  <si>
    <t>เงินสมทบประกันสังคม</t>
  </si>
  <si>
    <t>ค่าใช้สอย (ค่าตรวสอบคุณภาพน้ำ)</t>
  </si>
  <si>
    <t>โครงการจ้างเหมาปรับปรุงต่อเติมศูนย์พัฒนาเด็กติดตั้งรางรินและท่อระบายน้ำ</t>
  </si>
  <si>
    <t>โครงการจ้างเหมาปรับปรุงต่อเติมศูนย์พัฒนาเด็กเททางเดิน</t>
  </si>
  <si>
    <t>โครงการก่อสร้างถนน คสล. ม.8</t>
  </si>
  <si>
    <t>โครงการก่อสร้างถนน คสล. ม.11</t>
  </si>
  <si>
    <t>โครงการก่อสร้างถนน คสล. ม.10</t>
  </si>
  <si>
    <t>โครงการก่อสร้างถนน คสล. ม.7</t>
  </si>
  <si>
    <t>โครงการก่อสร้างถนน คสล. ม.1</t>
  </si>
  <si>
    <t>โครงการก่อสร้างอาคารอเนกประสงค์ ม.5</t>
  </si>
  <si>
    <t>เงินรับฝาก  ภาษีโรงเรือนและที่ดิน</t>
  </si>
  <si>
    <t>เงินรับฝาก  ภาษีป้าย</t>
  </si>
  <si>
    <t>เงินรับฝาก  เงินรับฝากอุดหนุนเฉพาะกิจ</t>
  </si>
  <si>
    <t>เงินรับฝาก  การจัดเก็บรายได้ (รางวัล)</t>
  </si>
  <si>
    <t>(ค่าจ้างผดด.)</t>
  </si>
  <si>
    <t>(เบี้ยยังชีพผู้สูงอายุ  55)</t>
  </si>
  <si>
    <t>เงินรับฝาก เงินรางวัลสภาวิศวกร</t>
  </si>
  <si>
    <t>เทศบาลตำบลท่าสาย</t>
  </si>
  <si>
    <t>รับเงินคืนกลุ่มคัดแยกขยะ ม.9</t>
  </si>
  <si>
    <t>รับเงินคืนกลุ่มคัดแยกขยะ ม.6</t>
  </si>
  <si>
    <t>ปรับปรุงส่วนลดภาษีบำรุงท้องที่ 6%</t>
  </si>
  <si>
    <t>ปรับปรุงรายได้ค้างรับ</t>
  </si>
  <si>
    <t>รับเงินคืนกลุ่มปุ๋ยอินทรีย์ ม.6</t>
  </si>
  <si>
    <t>ปรับปรุงภาษีหัก ณ ที่จ่าย</t>
  </si>
  <si>
    <t>เลขที่.........5........../2555...........</t>
  </si>
  <si>
    <t>เงินรับฝาก - ภาษีหักณที่จ่าย(โครงการ 25 ตาสัปรด)</t>
  </si>
  <si>
    <t>ปรับปรุงบัญชีเงินรับฝากภาษีหัก ณ ที่จ่ายโครงการ 25 ตาสัปรด เช้าเงินสะสม เนื่องจากลงบัญชีผิด</t>
  </si>
  <si>
    <t xml:space="preserve">         เทศบาลตำบลท่าสาย</t>
  </si>
  <si>
    <t>284 อาหารเสรม(นม)</t>
  </si>
  <si>
    <t>ค่าปิดโอนมรด</t>
  </si>
  <si>
    <t>เงินรับรายรับ -ค่าตอบแทนบุคลากรถ่ายโอน(นางอุไร)</t>
  </si>
  <si>
    <t>เงินอุดหนุนเฉพาะกิจ</t>
  </si>
  <si>
    <t>เบี้ยยังชีพผู้พิการ</t>
  </si>
  <si>
    <t>จ่ายเบี้ยยังชีพผู้สูงอายุ</t>
  </si>
  <si>
    <t>จ่ายเบี้ยยังชีพผู้พิการ</t>
  </si>
  <si>
    <t>เงินเดือน/ค่าจ้าง/สมทบประกันสังคม</t>
  </si>
  <si>
    <t>ค่าตอบแทนบุคลากรถ่ายโอน</t>
  </si>
  <si>
    <t>( หมายเหตุ 7  )</t>
  </si>
  <si>
    <t>ปีงบประมาณ 2556</t>
  </si>
  <si>
    <t>เงินายรับ-อุดหนุนเฉพาะกิจ</t>
  </si>
  <si>
    <t>ค่าธน.จดทะเบียนนิติกรรมที่ดินฯ</t>
  </si>
  <si>
    <t>6534000</t>
  </si>
  <si>
    <t xml:space="preserve">     106  ค่าตอบแทนเลขานุการ/ที่ปรึกษานายก</t>
  </si>
  <si>
    <t>เงินรายรับ-เงินอุดหนุนเฉพาะกิจโครงการซ่อมคันดินฯ</t>
  </si>
  <si>
    <t>เลขที่......................./2556...........</t>
  </si>
  <si>
    <t xml:space="preserve"> วันที่..... 26  มีนาคม  2556.........</t>
  </si>
  <si>
    <t>39</t>
  </si>
  <si>
    <t>ภาษีหัก ณ ที่จ่าย</t>
  </si>
  <si>
    <t>ปรับปรุงบัญชีภาษีหัก ณ ที่จ่าย เงินโครงการปรับปรุงซ่อมแซมคันดินฯ</t>
  </si>
  <si>
    <t>โครงการซ่อมคันดินฯ</t>
  </si>
  <si>
    <t xml:space="preserve">     305   ค่าบริการทางด้านโทรคมนาคม</t>
  </si>
  <si>
    <t xml:space="preserve">     466     คอมพิวเตอร์</t>
  </si>
  <si>
    <t xml:space="preserve">     467     ค่าบำรุงรักษาและปรับปรุงครุภัณฑ์</t>
  </si>
  <si>
    <t xml:space="preserve">     465     ดนตรีและนาฏศิลป์</t>
  </si>
  <si>
    <t>26/2556</t>
  </si>
  <si>
    <t>(1 เม.ย.56)</t>
  </si>
  <si>
    <t>นางทัชชกร</t>
  </si>
  <si>
    <t>สุวรรณจักร</t>
  </si>
  <si>
    <t>- เบี้ยยังชีพผู้พิการ                                79,500.00    บาท</t>
  </si>
  <si>
    <t>27/2556</t>
  </si>
  <si>
    <t>(19 เม.ย.56)</t>
  </si>
  <si>
    <t>น.ส.กิตติวรรณ</t>
  </si>
  <si>
    <t>บัณฑิต</t>
  </si>
  <si>
    <t>28/2556</t>
  </si>
  <si>
    <t>น.ส.ยุพิน</t>
  </si>
  <si>
    <t>ศาลารักษ์</t>
  </si>
  <si>
    <t>เป็นเงินยืมเงินเดือนและเงินเพิ่ม เดือน เมษายน  2556</t>
  </si>
  <si>
    <t>29/2556</t>
  </si>
  <si>
    <t>น.ส.สายฝน</t>
  </si>
  <si>
    <t>คำดี</t>
  </si>
  <si>
    <t>เป็นเงินยืมค่าจ้าง,เงินเพิ่ม ผดด. เดือน เมษายน  2556</t>
  </si>
  <si>
    <t>30/2556</t>
  </si>
  <si>
    <t>นางเพ็ญนภา</t>
  </si>
  <si>
    <t>จุมปาดี</t>
  </si>
  <si>
    <t>32/2556</t>
  </si>
  <si>
    <t>เป็นเงินยืมเงินสมทบประกันสังคม เดือน เมษายน  2556</t>
  </si>
  <si>
    <t>38/2556</t>
  </si>
  <si>
    <t>จ่ายโครงการซ่อมคันดินฯ</t>
  </si>
  <si>
    <t>00120</t>
  </si>
  <si>
    <t>00121</t>
  </si>
  <si>
    <t>00123</t>
  </si>
  <si>
    <t>ลูกหนี้-เงินยืมงบประมาณ</t>
  </si>
  <si>
    <t>ลูกหนี้-เงินยืมสะสม</t>
  </si>
  <si>
    <t>ค่าใบอนุญาตกิจการที่เป็นอันตรายต่อสุขภาพฯ</t>
  </si>
  <si>
    <t>เงินรับรายรับ -ค่าตอบแทนบุคลากรถ่ายโอน(นายสุริยนต์)</t>
  </si>
  <si>
    <t>16  พฤษภาคม  2556</t>
  </si>
  <si>
    <t>9248596</t>
  </si>
  <si>
    <t>เงินฝากระหว่างทาง</t>
  </si>
  <si>
    <t>5400000</t>
  </si>
  <si>
    <t>6400000</t>
  </si>
  <si>
    <t>(25 เม.ย.56)</t>
  </si>
  <si>
    <t>33/2556</t>
  </si>
  <si>
    <t>( 7 พ.ค. 56)</t>
  </si>
  <si>
    <t>น.ส.จันทร์เพ็ญ</t>
  </si>
  <si>
    <t>จันต๊ะคาด</t>
  </si>
  <si>
    <t>เป็นเงินยืมเบี้ยยังชีพ  ประจำเดือน พฤษภาคม  2556</t>
  </si>
  <si>
    <t>เป็นเงินยืมเบี้ยยังชีพ  ประจำเดือน เมษายน  2556</t>
  </si>
  <si>
    <t>- เบี้ยยังชีพผู้พิการ                                79,000.00    บาท</t>
  </si>
  <si>
    <t>34/2556</t>
  </si>
  <si>
    <t>( 21 พ.ค.56)</t>
  </si>
  <si>
    <t>เป็นเงินยืมค่าจ้าง,เงินเพิ่ม ผดด. เดือน พฤษภาคม  2556</t>
  </si>
  <si>
    <t>35/2556</t>
  </si>
  <si>
    <t>36/2556</t>
  </si>
  <si>
    <t>เป็นเงินยืมเงินเดือนและเงินเพิ่ม เดือน พฤษภาคม  2556</t>
  </si>
  <si>
    <t>37/2556</t>
  </si>
  <si>
    <t>( 28 พ.ค.56)</t>
  </si>
  <si>
    <t>จ.ส.อ.ปฏิเวช</t>
  </si>
  <si>
    <t>ยานะนวล</t>
  </si>
  <si>
    <t>นางกนกศรี</t>
  </si>
  <si>
    <t>ศิริคำปา</t>
  </si>
  <si>
    <t>นายชาคริต</t>
  </si>
  <si>
    <t>อิ่นคำ</t>
  </si>
  <si>
    <t>เป็นเงินยืมค่าเดินทางเข้าอบรมหลักสูตรสมาชิกทศบาล รุ่นที่ 46 ระหว่างวันที่ 17-28 มิ.ย.56</t>
  </si>
  <si>
    <t>วัสดุการศึกษา</t>
  </si>
  <si>
    <t>เงินรับฝาก  โครงการสืบสานภูมิปัญญาฯ</t>
  </si>
  <si>
    <t>- เบี้ยยังชีพผู้สูงอายุ                           618,300.00    บาท</t>
  </si>
  <si>
    <t>- เบี้ยยังชีพผู้ป่วยโรคเอดส์                  32,000.00    บาท</t>
  </si>
  <si>
    <t>- เบี้ยยังชีพผู้สูงอายุ                           620,700.00    บาท</t>
  </si>
  <si>
    <t>55000</t>
  </si>
  <si>
    <t>เลขที่................/2556...........</t>
  </si>
  <si>
    <t xml:space="preserve"> วันที่  10  มิถุนายน   2556..</t>
  </si>
  <si>
    <t>เลขที่.............../2556...........</t>
  </si>
  <si>
    <t>เงินรายรับ - เบี้ยยังชีพผู้สูงอายุ</t>
  </si>
  <si>
    <t>เงินรายรับ - เบี้ยยังชีพผู้พิการ</t>
  </si>
  <si>
    <t xml:space="preserve"> ส่งใช้เงินตามสัญญาเลขที่  26/2556  ของ นางทัชชกร  สุวรรณจักร  เป็นเงินยืมเบี้ยยังชีพ</t>
  </si>
  <si>
    <t xml:space="preserve"> - เบี้ยยังชีพคนพิการ</t>
  </si>
  <si>
    <t xml:space="preserve"> - เบี้ยยังชีพผู้สูงอายุ</t>
  </si>
  <si>
    <t xml:space="preserve"> - เบี้ยยังชีพผู้ป่วยเอดส์</t>
  </si>
  <si>
    <t>ตามฎีกาส่งใช่เลขที่ ป.093-096/318-321,560-561/1027-1028</t>
  </si>
  <si>
    <t>เงินรายรับ-เงินเดือน/ค่าจ้างและสมทบประกันสังคม</t>
  </si>
  <si>
    <t xml:space="preserve"> ส่งใช้เงินตามสัญญาเลขที่  27/2556  ของ น.ส.กิตติวรรณ   บัณฑิต  เป็นเงินยืมค่าจ้างเดือน เมษายน  2556</t>
  </si>
  <si>
    <t xml:space="preserve"> ตามฎีกาส่งใช่เลขที่  ศ.072/280</t>
  </si>
  <si>
    <t xml:space="preserve"> วันที่   3  มิถุนายน   2556..</t>
  </si>
  <si>
    <t xml:space="preserve"> ส่งใช้เงินตามสัญญาเลขที่  28/2556  ของ น.ส.ยุพิน  ศาลารักษ์   เป็นเงินยืมเงินเดือน  เมษายน  2556</t>
  </si>
  <si>
    <t xml:space="preserve"> ตามฎีกาส่งใช่เลขที่  ศ.073/281</t>
  </si>
  <si>
    <t>เงินรายรับ-เงินเดือน ผดด.</t>
  </si>
  <si>
    <t xml:space="preserve"> ส่งใช้เงินตามสัญญาเลขที่  29/2556  ของ น.ส.สายฝน  คำดี   เป็นเงินยืมเงินเดือน  เมษายน  2556</t>
  </si>
  <si>
    <t xml:space="preserve"> ตามฎีกาส่งใช่เลขที่  ศ.074/282</t>
  </si>
  <si>
    <t xml:space="preserve"> ส่งใช้เงินตามสัญญาเลขที่  30/2556  ของ นางเพ็ญนภา  จุมปาดี   เป็นเงินยืมเงินเดือน  เมษายน  2556</t>
  </si>
  <si>
    <t xml:space="preserve"> ตามฎีกาส่งใช่เลขที่  ศ.075/283</t>
  </si>
  <si>
    <t xml:space="preserve"> ส่งใช้เงินตามสัญญาเลขที่  32/2556  ของ น.ส.กิตติวรรณ  บัณฑิต   เป็นเงินยืมเงินสมทบประกันสังคม ผดด.  เมษายน  2556</t>
  </si>
  <si>
    <t xml:space="preserve"> ตามฎีกาส่งใช่เลขที่  ศ.076/284</t>
  </si>
  <si>
    <t xml:space="preserve"> ส่งใช้เงินตามสัญญาเลขที่  33/2556  ของ น.ส.จันทร์เพ็ญ  จันต๊ะคาด  เป็นเงินยืมเบี้ยยังชีพ</t>
  </si>
  <si>
    <t>ตามฎีกาส่งใช่เลขที่ ป.097-100/322-325,562-563/1029-1030</t>
  </si>
  <si>
    <t xml:space="preserve"> ส่งใช้เงินตามสัญญาเลขที่  34/2556  ของ น.ส.กิตติวรรณ   บัณฑิต  เป็นเงินยืมค่าจ้างเดือน พฤษภาคม  2556</t>
  </si>
  <si>
    <t xml:space="preserve"> ตามฎีกาส่งใช่เลขที่  ศ.077/285</t>
  </si>
  <si>
    <t xml:space="preserve"> ส่งใช้เงินตามสัญญาเลขที่  35/2556  ของ น.ส.ยุพิน  ศาลารักษ์   เป็นเงินยืมเงินเดือน  พฤษภาคม  2556</t>
  </si>
  <si>
    <t xml:space="preserve"> ตามฎีกาส่งใช่เลขที่  ศ.078/286</t>
  </si>
  <si>
    <t xml:space="preserve"> ตามฎีกาส่งใช่เลขที่  ศ.079/287</t>
  </si>
  <si>
    <t xml:space="preserve"> ตามฎีกาส่งใช่เลขที่  ศ.080/288</t>
  </si>
  <si>
    <t xml:space="preserve"> ส่งใช้เงินตามสัญญาเลขที่  36/2556  ของ น.ส.สายฝน  คำดี   เป็นเงินยืมเงินเดือน  พฤษภาคม  2556</t>
  </si>
  <si>
    <t xml:space="preserve"> ส่งใช้เงินตามสัญญาเลขที่  37/2556  ของ นางเพ็ญนภา  จุมปาดี   เป็นเงินยืมเงินเดือน  พฤษภาคม  2556</t>
  </si>
  <si>
    <t xml:space="preserve"> วันที่  18  มิถุนายน   2556..</t>
  </si>
  <si>
    <t>เลขที่........03/06/2556..........</t>
  </si>
  <si>
    <t>วันที่  30  มิถุนายน  2556.</t>
  </si>
  <si>
    <t>ณ  วันที่   30  มิถุนายน  2556</t>
  </si>
  <si>
    <t>วันที่  30  มิถุนายน  2556</t>
  </si>
  <si>
    <t>เลขที่......01/06/2556........</t>
  </si>
  <si>
    <t>บัญชี 539-2-04870-6</t>
  </si>
  <si>
    <t>เงินรายรับ-เงินอุดหนุนเฉพาะกิจบุคลากรถ่ายโอน(นางอุไร)</t>
  </si>
  <si>
    <t>เงินรายรับ-เงินอุดหนุนเฉพาะกิจเบี้ยยังชีพผู้พิการ</t>
  </si>
  <si>
    <t>เงินรับฝาก-เศรษฐกิจชุมชน</t>
  </si>
  <si>
    <t>เงินรายรับ-เงินอุดหนุนเฉพาะกิจโครงการปรับปรุงคันดินฯ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</si>
  <si>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มิถุนายน  2556</t>
    </r>
  </si>
  <si>
    <t>เลขที่.......02/06/2556........</t>
  </si>
  <si>
    <t>เงินรายรับ-เงินอุดหนุนเฉพาะกิจคอมพิวเตอร์</t>
  </si>
  <si>
    <t>เงินรายรับ-เงินอุดหนุนเฉพาะกิจเงินเดือน/ค่าจ้างสมทบประกันสังคมฯ</t>
  </si>
  <si>
    <t>เงินรับฝาก - เงินรางวัลการบริหารจัดการที่ดีและการจัดเก็บรายได้</t>
  </si>
  <si>
    <t>ค่าปรับ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</si>
  <si>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มิถุนายน    2556</t>
    </r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</si>
  <si>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  มิถุนายน   2556</t>
    </r>
  </si>
  <si>
    <t>ค่าปรัผู้กระทำผิดกฎหมายและข้อบังคับท้องถิ่น</t>
  </si>
  <si>
    <t>ค่าปรับผิดสัญญา</t>
  </si>
  <si>
    <t>หน่อวยบริการแพทย์ฉุกเฉิน</t>
  </si>
  <si>
    <t>เงินอุดหนุนเฉพาะกิจเบี้ยยังชีพผู้พิการ</t>
  </si>
  <si>
    <t>เงินอุดหนุนเฉพาะกิจโครงการปรับปรุงคันดินฯ</t>
  </si>
  <si>
    <t>ค่าภาคหลวงปิดตรเลี่ยม</t>
  </si>
  <si>
    <t>ยอดคงเหลือตามรายงานธนาคาร  ณ  วันที่  30  มิถุนายน  2556</t>
  </si>
  <si>
    <t>ยอดคงเหลือตามบัญชี ณ วันที่    30  มิถุนายน  2556</t>
  </si>
  <si>
    <t>0173282</t>
  </si>
  <si>
    <t>0173333</t>
  </si>
  <si>
    <t>0173335</t>
  </si>
  <si>
    <t>0173336</t>
  </si>
  <si>
    <t>0173339</t>
  </si>
  <si>
    <t>0173340</t>
  </si>
  <si>
    <t>0173341</t>
  </si>
  <si>
    <t>6   มิถุนายน  2556</t>
  </si>
  <si>
    <t>25   มิถุนายน  2556</t>
  </si>
  <si>
    <t>26   มิถุนายน  2556</t>
  </si>
  <si>
    <t>เงินรายรับ-เงินอุดหนุนเฉพาะกิจบุคลากรถ่ายโอน (นางอุไร)</t>
  </si>
  <si>
    <t>เงินอุดหนุนเฉพาะกิจบุคลากรถ่ายโอน (นางอุไร)</t>
  </si>
  <si>
    <t>เลขที่.................../2556.....</t>
  </si>
  <si>
    <t>วันที่  6    มิถุนายน   2556</t>
  </si>
  <si>
    <t>53</t>
  </si>
  <si>
    <t>96</t>
  </si>
  <si>
    <t>วันที่  30  มิถุนายน   2556</t>
  </si>
  <si>
    <t>เลขที่................../2556......</t>
  </si>
  <si>
    <t>เลขที่บัญชี 001-5-00135-1 เพื่อจ่ายเช็คต่าง ๆ ประจำเดือน มิถุนายน  2556</t>
  </si>
  <si>
    <t xml:space="preserve"> วันที่   11  มิถุนายน   2556..</t>
  </si>
  <si>
    <t xml:space="preserve"> ส่งใช้เงินตามสัญญาเลขที่  43/2556  ของ นายชัยทัต  เรือนแก้ว    เป็นเงินยืมค่าเงินทางไปราชการอบรมหลักสูตร</t>
  </si>
  <si>
    <t>พัฒนาความรู้เบื้องต้น เพื่อการสอบใบประกอบการวิชาชีพภาคีพิเศษ สาขาวิศวกรรมฯรุ่นที่ 3 ตามฎีกาส่งใช่เลขที่ ช.158/1112</t>
  </si>
  <si>
    <t xml:space="preserve"> วันที่   7  มิถุนายน   2556..</t>
  </si>
  <si>
    <t>ค่าใช้สอย (ค่าเดินทางไปราชการ)</t>
  </si>
  <si>
    <t>ภาษีและการบังคับภาษีค้างชำระ  ตามฎีกาส่งใช่เลขที่ ค.138/952</t>
  </si>
  <si>
    <t>ค่าใช้สอย (ค่าลงทะเบียน)</t>
  </si>
  <si>
    <t xml:space="preserve"> วันที่ 10  มิถุนายน   2556..</t>
  </si>
  <si>
    <t xml:space="preserve"> ส่งใช้เงินตามสัญญาเลขที่  45/2556  ของ นางกนกศรี  ศิริคำปา    เป็นเงินยืมค่าลงทะเบียนโครงการฝึกอบรมการจัดเก็บ</t>
  </si>
  <si>
    <t xml:space="preserve"> ส่งใช้เงินตามสัญญาเลขที่  46/2556  ของ นายวีรพล  ดำรงค์    เป็นเงินยืมค่าตอบแทนคณะกรรมการคัดเลือกปลัด 8</t>
  </si>
  <si>
    <t>ตามฎีกาส่งใช่เลขที่ ป.516/959</t>
  </si>
  <si>
    <t xml:space="preserve"> ส่งใช้เงินตามสัญญาเลขที่  44/2556  ของ จ.ส.อ.ปฏิเวช  ยานะนวล   เป็นเงินยืมค่าลงทะเบียนโครงการฝึกอบรมการจัดเก็บ</t>
  </si>
  <si>
    <t>ภาษีและการบังคับภาษีค้างชำระ  ตามฎีกาส่งใช่เลขที่ ป.513/951</t>
  </si>
  <si>
    <t>ค่าใช้สอย (ค่าเบี้ยเลี้ยงพาหนะ)</t>
  </si>
  <si>
    <t xml:space="preserve"> ส่งใช้เงินตามสัญญาเลขที่  42/2556  ของ นายวิจิตร  เกิ้งบุรี   เป็นเงินยืมค่าลงทะเบียนและค่าเบี้ยเลี้ยงพาหนะ</t>
  </si>
  <si>
    <t>ในการฝึกอบรมหลักสูตรรองนายกเทศมนตรี รุ่นที่ 30  ตามฎีกาส่งใช่เลขที่ ป.524-525/968-969</t>
  </si>
  <si>
    <t xml:space="preserve"> ส่งใช้เงินตามสัญญาเลขที่  47/2556  ของ นายชาคริต  อิ่นคำ   เป็นเงินยืมค่าลงทะเบียนโครงการฝึกอบรมหลักสูตรสมาชิก</t>
  </si>
  <si>
    <t>สภาเทศบาล  รุ่นที่  46  ตามฎีกาส่งใช่เลขที่ ป.517/960</t>
  </si>
  <si>
    <t xml:space="preserve"> วันที่  24  มิถุนายน   2556..</t>
  </si>
  <si>
    <t xml:space="preserve"> ส่งใช้เงินตามสัญญาเลขที่  50/2556  ของ นางจันทรา  สุภาวสิทธิ์   เป็นเงินยืมค่าลงทะเบียนอบรมการกันเงินไว้เบิกเหลื่อมปีฯ</t>
  </si>
  <si>
    <t xml:space="preserve">  ตามฎีกาส่งใช่เลขที่ ค.147/1043</t>
  </si>
  <si>
    <t xml:space="preserve"> วันที่11  มิถุนายน  2556...</t>
  </si>
  <si>
    <t>เงินรายรับ-เงินสบทบประกันสังคม ผดด</t>
  </si>
  <si>
    <t>ปรับปรุงบัญชีเนื่องจากลงบัญชีผิดจากงบกลงเป็นเงินรายรับ-เงินสมทบประกันสังคม ผดด</t>
  </si>
  <si>
    <t>48/2556</t>
  </si>
  <si>
    <t>(12 มิ.ย. 2556)</t>
  </si>
  <si>
    <t>ระหว่างวันที่ 18-21  มิถุนายน  2556</t>
  </si>
  <si>
    <t xml:space="preserve">เป็นเงินยืมค่าเดินทางไปราชการฝึกอบรมการจัดเก็บภาษีและภาษีต้างชำระ อปท. รุ่นที่ </t>
  </si>
  <si>
    <t>49/2556</t>
  </si>
  <si>
    <t>(ค่าลเบี้ยเลี้ยงพาหนะ )</t>
  </si>
  <si>
    <t>51/2556</t>
  </si>
  <si>
    <t>52/2556</t>
  </si>
  <si>
    <t>(19 มิ.ย. 2556)</t>
  </si>
  <si>
    <t>นางจันทรา</t>
  </si>
  <si>
    <t>สุภาวสิทธิ์</t>
  </si>
  <si>
    <t>เป็นเงินยืมตามโครงการศึกษาดูงานตามแนวเศรษฐกิจพอเพียงฯ  ประจำปี2556</t>
  </si>
  <si>
    <t>รายจ่ายค้างจ่าย      (หมายเหตุ 2)</t>
  </si>
  <si>
    <t>เงินสะสม                  (หมายเหตุ 3)</t>
  </si>
  <si>
    <t>เงินรายรับ-เงินอุดหนุนเฉพาะกิจ  (หมายเหตุ 4)</t>
  </si>
  <si>
    <t xml:space="preserve">เงินรับฝาก                           (หมายเหตุ 5)      </t>
  </si>
  <si>
    <t>รายจ่ายรอจ่าย                    (หมายเหตุ 6)</t>
  </si>
  <si>
    <t>จ่ายวัสดุการศึกษา</t>
  </si>
  <si>
    <t>เงินรับฝาก  การบริหารจัดการที่ดี (รางวัล)</t>
  </si>
  <si>
    <t>ประจำเดือน  มิถุนายน   2556</t>
  </si>
  <si>
    <t>เงินรับฝาก - ภาษีหัก ณ ที่จ่าย (วัสดุกาศึกษา)</t>
  </si>
  <si>
    <t xml:space="preserve"> ส่งใช้เงินตามสัญญาเลขที่  39/2556  ของ นางรัฐติกาล  พรมเสน  เป็นเงินยืมเบี้ยยังชีพ</t>
  </si>
  <si>
    <t>ประจำเดือน  มิถุนายน  2556</t>
  </si>
  <si>
    <t xml:space="preserve">เงินรายรับ-เงินอุดหนุนเฉพาะกิจ  </t>
  </si>
  <si>
    <t>(  หมายเหตุ  3  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</si>
</sst>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</numFmts>
  <fonts count="92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u val="single"/>
      <sz val="16"/>
      <name val="AngsanaUPC"/>
      <family val="1"/>
    </font>
    <font>
      <sz val="8"/>
      <name val="Cordia New"/>
      <family val="2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2"/>
    </font>
    <font>
      <sz val="14"/>
      <color indexed="9"/>
      <name val="Cordia New"/>
      <family val="2"/>
    </font>
    <font>
      <u val="single"/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2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12"/>
      <color indexed="8"/>
      <name val="CordiaUPC"/>
      <family val="2"/>
    </font>
    <font>
      <sz val="16"/>
      <name val="Arial"/>
      <family val="2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b/>
      <sz val="14"/>
      <name val="Cordia New"/>
      <family val="2"/>
    </font>
    <font>
      <sz val="12"/>
      <color indexed="9"/>
      <name val="CordiaUPC"/>
      <family val="2"/>
    </font>
    <font>
      <u val="singleAccounting"/>
      <sz val="16"/>
      <name val="AngsanaUPC"/>
      <family val="1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6"/>
      <color indexed="8"/>
      <name val="Arial"/>
      <family val="2"/>
    </font>
    <font>
      <sz val="15"/>
      <color indexed="9"/>
      <name val="Angsana New"/>
      <family val="1"/>
    </font>
    <font>
      <sz val="16"/>
      <color indexed="9"/>
      <name val="Arial"/>
      <family val="2"/>
    </font>
    <font>
      <sz val="13"/>
      <color indexed="8"/>
      <name val="Cordia New"/>
      <family val="2"/>
    </font>
    <font>
      <sz val="14"/>
      <color indexed="8"/>
      <name val="Cordia New"/>
      <family val="2"/>
    </font>
    <font>
      <sz val="16"/>
      <color indexed="8"/>
      <name val="Cordia New"/>
      <family val="2"/>
    </font>
    <font>
      <sz val="15"/>
      <color indexed="8"/>
      <name val="Cordia New"/>
      <family val="2"/>
    </font>
    <font>
      <sz val="16"/>
      <color indexed="8"/>
      <name val="AngsanaUPC"/>
      <family val="1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  <font>
      <sz val="16"/>
      <color theme="1"/>
      <name val="Arial"/>
      <family val="2"/>
    </font>
    <font>
      <sz val="12"/>
      <color theme="1"/>
      <name val="CordiaUPC"/>
      <family val="2"/>
    </font>
    <font>
      <sz val="14"/>
      <color theme="0"/>
      <name val="Cordia New"/>
      <family val="2"/>
    </font>
    <font>
      <sz val="15"/>
      <color theme="0"/>
      <name val="Angsana New"/>
      <family val="1"/>
    </font>
    <font>
      <sz val="1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0" fontId="1" fillId="33" borderId="16" xfId="0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43" fontId="1" fillId="33" borderId="1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9" xfId="42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209" fontId="20" fillId="0" borderId="21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42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7" xfId="42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5" xfId="42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42" applyFont="1" applyFill="1" applyBorder="1" applyAlignment="1">
      <alignment horizontal="right"/>
    </xf>
    <xf numFmtId="43" fontId="7" fillId="33" borderId="0" xfId="42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43" fontId="1" fillId="33" borderId="17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09" fontId="7" fillId="33" borderId="17" xfId="42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209" fontId="7" fillId="33" borderId="17" xfId="42" applyNumberFormat="1" applyFont="1" applyFill="1" applyBorder="1" applyAlignment="1">
      <alignment/>
    </xf>
    <xf numFmtId="209" fontId="7" fillId="33" borderId="15" xfId="42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209" fontId="7" fillId="33" borderId="15" xfId="0" applyNumberFormat="1" applyFont="1" applyFill="1" applyBorder="1" applyAlignment="1">
      <alignment/>
    </xf>
    <xf numFmtId="43" fontId="7" fillId="33" borderId="15" xfId="42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5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/>
    </xf>
    <xf numFmtId="209" fontId="8" fillId="33" borderId="19" xfId="42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205" fontId="8" fillId="33" borderId="0" xfId="42" applyNumberFormat="1" applyFont="1" applyFill="1" applyBorder="1" applyAlignment="1">
      <alignment/>
    </xf>
    <xf numFmtId="209" fontId="8" fillId="33" borderId="26" xfId="42" applyNumberFormat="1" applyFont="1" applyFill="1" applyBorder="1" applyAlignment="1">
      <alignment horizontal="right"/>
    </xf>
    <xf numFmtId="209" fontId="8" fillId="33" borderId="15" xfId="42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6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19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7" xfId="42" applyNumberFormat="1" applyFont="1" applyFill="1" applyBorder="1" applyAlignment="1">
      <alignment horizontal="center"/>
    </xf>
    <xf numFmtId="209" fontId="7" fillId="33" borderId="15" xfId="42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6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42" applyNumberFormat="1" applyFont="1" applyFill="1" applyBorder="1" applyAlignment="1">
      <alignment horizontal="right"/>
    </xf>
    <xf numFmtId="205" fontId="7" fillId="33" borderId="0" xfId="42" applyNumberFormat="1" applyFont="1" applyFill="1" applyBorder="1" applyAlignment="1">
      <alignment/>
    </xf>
    <xf numFmtId="205" fontId="7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3" fontId="5" fillId="33" borderId="15" xfId="42" applyNumberFormat="1" applyFont="1" applyFill="1" applyBorder="1" applyAlignment="1">
      <alignment/>
    </xf>
    <xf numFmtId="43" fontId="5" fillId="33" borderId="15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5" xfId="42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4" fontId="5" fillId="33" borderId="15" xfId="0" applyNumberFormat="1" applyFont="1" applyFill="1" applyBorder="1" applyAlignment="1">
      <alignment horizontal="right"/>
    </xf>
    <xf numFmtId="43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19" xfId="42" applyFont="1" applyFill="1" applyBorder="1" applyAlignment="1">
      <alignment/>
    </xf>
    <xf numFmtId="43" fontId="5" fillId="33" borderId="19" xfId="42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43" fontId="5" fillId="33" borderId="15" xfId="42" applyFont="1" applyFill="1" applyBorder="1" applyAlignment="1">
      <alignment horizontal="left"/>
    </xf>
    <xf numFmtId="43" fontId="5" fillId="33" borderId="15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5" xfId="42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1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0" fontId="18" fillId="0" borderId="0" xfId="0" applyFont="1" applyAlignment="1">
      <alignment/>
    </xf>
    <xf numFmtId="43" fontId="24" fillId="33" borderId="10" xfId="42" applyFont="1" applyFill="1" applyBorder="1" applyAlignment="1">
      <alignment horizontal="center"/>
    </xf>
    <xf numFmtId="43" fontId="25" fillId="33" borderId="17" xfId="42" applyFont="1" applyFill="1" applyBorder="1" applyAlignment="1">
      <alignment horizontal="center"/>
    </xf>
    <xf numFmtId="49" fontId="26" fillId="33" borderId="17" xfId="42" applyNumberFormat="1" applyFont="1" applyFill="1" applyBorder="1" applyAlignment="1">
      <alignment horizontal="center" vertical="center"/>
    </xf>
    <xf numFmtId="49" fontId="26" fillId="33" borderId="24" xfId="42" applyNumberFormat="1" applyFont="1" applyFill="1" applyBorder="1" applyAlignment="1">
      <alignment horizontal="center" vertical="center"/>
    </xf>
    <xf numFmtId="49" fontId="26" fillId="33" borderId="16" xfId="42" applyNumberFormat="1" applyFont="1" applyFill="1" applyBorder="1" applyAlignment="1">
      <alignment horizontal="center"/>
    </xf>
    <xf numFmtId="49" fontId="26" fillId="33" borderId="24" xfId="42" applyNumberFormat="1" applyFont="1" applyFill="1" applyBorder="1" applyAlignment="1">
      <alignment/>
    </xf>
    <xf numFmtId="49" fontId="26" fillId="33" borderId="17" xfId="42" applyNumberFormat="1" applyFont="1" applyFill="1" applyBorder="1" applyAlignment="1">
      <alignment/>
    </xf>
    <xf numFmtId="49" fontId="26" fillId="33" borderId="16" xfId="42" applyNumberFormat="1" applyFont="1" applyFill="1" applyBorder="1" applyAlignment="1">
      <alignment horizontal="center" vertical="center"/>
    </xf>
    <xf numFmtId="43" fontId="25" fillId="33" borderId="14" xfId="42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15" xfId="42" applyNumberFormat="1" applyFont="1" applyFill="1" applyBorder="1" applyAlignment="1">
      <alignment horizontal="center" vertical="center"/>
    </xf>
    <xf numFmtId="49" fontId="26" fillId="33" borderId="16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6" xfId="42" applyFont="1" applyFill="1" applyBorder="1" applyAlignment="1">
      <alignment/>
    </xf>
    <xf numFmtId="4" fontId="27" fillId="33" borderId="16" xfId="42" applyNumberFormat="1" applyFont="1" applyFill="1" applyBorder="1" applyAlignment="1">
      <alignment horizontal="center"/>
    </xf>
    <xf numFmtId="4" fontId="26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 vertical="center"/>
    </xf>
    <xf numFmtId="4" fontId="26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 vertical="center"/>
    </xf>
    <xf numFmtId="43" fontId="28" fillId="33" borderId="17" xfId="42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/>
    </xf>
    <xf numFmtId="4" fontId="26" fillId="33" borderId="27" xfId="42" applyNumberFormat="1" applyFont="1" applyFill="1" applyBorder="1" applyAlignment="1">
      <alignment horizontal="center"/>
    </xf>
    <xf numFmtId="43" fontId="28" fillId="33" borderId="14" xfId="42" applyFont="1" applyFill="1" applyBorder="1" applyAlignment="1">
      <alignment horizontal="right"/>
    </xf>
    <xf numFmtId="4" fontId="26" fillId="33" borderId="14" xfId="42" applyNumberFormat="1" applyFont="1" applyFill="1" applyBorder="1" applyAlignment="1">
      <alignment horizontal="center"/>
    </xf>
    <xf numFmtId="4" fontId="26" fillId="33" borderId="15" xfId="42" applyNumberFormat="1" applyFont="1" applyFill="1" applyBorder="1" applyAlignment="1">
      <alignment horizontal="center"/>
    </xf>
    <xf numFmtId="4" fontId="27" fillId="33" borderId="15" xfId="42" applyNumberFormat="1" applyFont="1" applyFill="1" applyBorder="1" applyAlignment="1">
      <alignment horizontal="center"/>
    </xf>
    <xf numFmtId="4" fontId="27" fillId="33" borderId="15" xfId="42" applyNumberFormat="1" applyFont="1" applyFill="1" applyBorder="1" applyAlignment="1">
      <alignment horizontal="center" vertical="center"/>
    </xf>
    <xf numFmtId="4" fontId="26" fillId="33" borderId="28" xfId="42" applyNumberFormat="1" applyFont="1" applyFill="1" applyBorder="1" applyAlignment="1">
      <alignment horizontal="center"/>
    </xf>
    <xf numFmtId="43" fontId="28" fillId="33" borderId="15" xfId="42" applyFont="1" applyFill="1" applyBorder="1" applyAlignment="1">
      <alignment horizontal="right"/>
    </xf>
    <xf numFmtId="4" fontId="26" fillId="33" borderId="16" xfId="42" applyNumberFormat="1" applyFont="1" applyFill="1" applyBorder="1" applyAlignment="1">
      <alignment horizontal="center" vertical="center"/>
    </xf>
    <xf numFmtId="4" fontId="26" fillId="33" borderId="17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/>
    </xf>
    <xf numFmtId="43" fontId="25" fillId="33" borderId="17" xfId="42" applyFont="1" applyFill="1" applyBorder="1" applyAlignment="1">
      <alignment/>
    </xf>
    <xf numFmtId="4" fontId="26" fillId="33" borderId="30" xfId="42" applyNumberFormat="1" applyFont="1" applyFill="1" applyBorder="1" applyAlignment="1">
      <alignment horizontal="center"/>
    </xf>
    <xf numFmtId="43" fontId="29" fillId="33" borderId="23" xfId="42" applyFont="1" applyFill="1" applyBorder="1" applyAlignment="1">
      <alignment/>
    </xf>
    <xf numFmtId="4" fontId="29" fillId="33" borderId="23" xfId="42" applyNumberFormat="1" applyFont="1" applyFill="1" applyBorder="1" applyAlignment="1">
      <alignment horizontal="center"/>
    </xf>
    <xf numFmtId="43" fontId="25" fillId="33" borderId="0" xfId="42" applyFont="1" applyFill="1" applyBorder="1" applyAlignment="1">
      <alignment/>
    </xf>
    <xf numFmtId="4" fontId="29" fillId="33" borderId="0" xfId="42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42" applyNumberFormat="1" applyFont="1" applyFill="1" applyBorder="1" applyAlignment="1">
      <alignment horizontal="center" vertical="center"/>
    </xf>
    <xf numFmtId="4" fontId="26" fillId="33" borderId="16" xfId="0" applyNumberFormat="1" applyFont="1" applyFill="1" applyBorder="1" applyAlignment="1">
      <alignment horizontal="center" vertical="center"/>
    </xf>
    <xf numFmtId="4" fontId="26" fillId="33" borderId="15" xfId="42" applyNumberFormat="1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42" applyNumberFormat="1" applyFont="1" applyBorder="1" applyAlignment="1">
      <alignment/>
    </xf>
    <xf numFmtId="43" fontId="28" fillId="33" borderId="0" xfId="42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42" applyFont="1" applyBorder="1" applyAlignment="1">
      <alignment horizontal="center"/>
    </xf>
    <xf numFmtId="209" fontId="7" fillId="33" borderId="11" xfId="42" applyNumberFormat="1" applyFont="1" applyFill="1" applyBorder="1" applyAlignment="1">
      <alignment horizontal="right"/>
    </xf>
    <xf numFmtId="43" fontId="1" fillId="0" borderId="0" xfId="42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42" applyNumberFormat="1" applyFont="1" applyFill="1" applyBorder="1" applyAlignment="1">
      <alignment horizontal="right"/>
    </xf>
    <xf numFmtId="194" fontId="1" fillId="33" borderId="11" xfId="42" applyNumberFormat="1" applyFont="1" applyFill="1" applyBorder="1" applyAlignment="1">
      <alignment horizontal="center"/>
    </xf>
    <xf numFmtId="194" fontId="1" fillId="33" borderId="15" xfId="42" applyNumberFormat="1" applyFont="1" applyFill="1" applyBorder="1" applyAlignment="1">
      <alignment/>
    </xf>
    <xf numFmtId="194" fontId="1" fillId="33" borderId="19" xfId="42" applyNumberFormat="1" applyFont="1" applyFill="1" applyBorder="1" applyAlignment="1">
      <alignment/>
    </xf>
    <xf numFmtId="43" fontId="25" fillId="33" borderId="16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left" vertical="center"/>
    </xf>
    <xf numFmtId="43" fontId="33" fillId="33" borderId="0" xfId="42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194" fontId="0" fillId="33" borderId="0" xfId="0" applyNumberFormat="1" applyFill="1" applyAlignment="1">
      <alignment/>
    </xf>
    <xf numFmtId="43" fontId="25" fillId="33" borderId="16" xfId="42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5" xfId="42" applyNumberFormat="1" applyFont="1" applyFill="1" applyBorder="1" applyAlignment="1">
      <alignment horizontal="center"/>
    </xf>
    <xf numFmtId="194" fontId="1" fillId="33" borderId="13" xfId="42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 horizontal="right"/>
    </xf>
    <xf numFmtId="227" fontId="26" fillId="33" borderId="14" xfId="42" applyNumberFormat="1" applyFont="1" applyFill="1" applyBorder="1" applyAlignment="1">
      <alignment horizontal="center"/>
    </xf>
    <xf numFmtId="227" fontId="26" fillId="33" borderId="16" xfId="42" applyNumberFormat="1" applyFont="1" applyFill="1" applyBorder="1" applyAlignment="1">
      <alignment horizontal="center"/>
    </xf>
    <xf numFmtId="39" fontId="26" fillId="33" borderId="27" xfId="42" applyNumberFormat="1" applyFont="1" applyFill="1" applyBorder="1" applyAlignment="1">
      <alignment horizontal="center" vertical="center"/>
    </xf>
    <xf numFmtId="43" fontId="26" fillId="33" borderId="27" xfId="42" applyFont="1" applyFill="1" applyBorder="1" applyAlignment="1">
      <alignment horizontal="center" vertical="center"/>
    </xf>
    <xf numFmtId="4" fontId="27" fillId="33" borderId="31" xfId="42" applyNumberFormat="1" applyFont="1" applyFill="1" applyBorder="1" applyAlignment="1">
      <alignment horizontal="center" vertical="center"/>
    </xf>
    <xf numFmtId="43" fontId="25" fillId="33" borderId="17" xfId="42" applyFont="1" applyFill="1" applyBorder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3" fontId="25" fillId="33" borderId="10" xfId="42" applyFont="1" applyFill="1" applyBorder="1" applyAlignment="1">
      <alignment horizontal="center"/>
    </xf>
    <xf numFmtId="4" fontId="25" fillId="33" borderId="23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227" fontId="36" fillId="0" borderId="16" xfId="42" applyNumberFormat="1" applyFont="1" applyFill="1" applyBorder="1" applyAlignment="1" applyProtection="1">
      <alignment horizontal="center"/>
      <protection/>
    </xf>
    <xf numFmtId="43" fontId="36" fillId="0" borderId="16" xfId="42" applyFont="1" applyFill="1" applyBorder="1" applyAlignment="1" applyProtection="1">
      <alignment horizontal="center"/>
      <protection/>
    </xf>
    <xf numFmtId="43" fontId="26" fillId="33" borderId="14" xfId="42" applyFont="1" applyFill="1" applyBorder="1" applyAlignment="1">
      <alignment horizontal="center"/>
    </xf>
    <xf numFmtId="43" fontId="26" fillId="33" borderId="14" xfId="42" applyFont="1" applyFill="1" applyBorder="1" applyAlignment="1">
      <alignment/>
    </xf>
    <xf numFmtId="43" fontId="26" fillId="33" borderId="16" xfId="42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right" vertical="center"/>
    </xf>
    <xf numFmtId="43" fontId="24" fillId="33" borderId="10" xfId="42" applyFont="1" applyFill="1" applyBorder="1" applyAlignment="1">
      <alignment horizontal="right"/>
    </xf>
    <xf numFmtId="43" fontId="36" fillId="0" borderId="16" xfId="42" applyFont="1" applyFill="1" applyBorder="1" applyAlignment="1" applyProtection="1">
      <alignment horizontal="right" vertical="center"/>
      <protection/>
    </xf>
    <xf numFmtId="4" fontId="26" fillId="33" borderId="16" xfId="42" applyNumberFormat="1" applyFont="1" applyFill="1" applyBorder="1" applyAlignment="1">
      <alignment horizontal="right"/>
    </xf>
    <xf numFmtId="4" fontId="26" fillId="33" borderId="17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/>
    </xf>
    <xf numFmtId="43" fontId="26" fillId="33" borderId="14" xfId="42" applyFont="1" applyFill="1" applyBorder="1" applyAlignment="1">
      <alignment horizontal="right"/>
    </xf>
    <xf numFmtId="43" fontId="26" fillId="33" borderId="16" xfId="42" applyFont="1" applyFill="1" applyBorder="1" applyAlignment="1">
      <alignment horizontal="right"/>
    </xf>
    <xf numFmtId="43" fontId="26" fillId="33" borderId="17" xfId="42" applyFont="1" applyFill="1" applyBorder="1" applyAlignment="1">
      <alignment horizontal="right"/>
    </xf>
    <xf numFmtId="4" fontId="26" fillId="33" borderId="32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 vertical="center"/>
    </xf>
    <xf numFmtId="4" fontId="26" fillId="33" borderId="0" xfId="42" applyNumberFormat="1" applyFont="1" applyFill="1" applyBorder="1" applyAlignment="1">
      <alignment horizontal="right" vertical="center"/>
    </xf>
    <xf numFmtId="4" fontId="26" fillId="33" borderId="14" xfId="42" applyNumberFormat="1" applyFont="1" applyFill="1" applyBorder="1" applyAlignment="1">
      <alignment horizontal="right"/>
    </xf>
    <xf numFmtId="4" fontId="29" fillId="33" borderId="23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5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6" xfId="42" applyFont="1" applyFill="1" applyBorder="1" applyAlignment="1">
      <alignment horizontal="center" vertical="center"/>
    </xf>
    <xf numFmtId="209" fontId="31" fillId="0" borderId="0" xfId="0" applyNumberFormat="1" applyFont="1" applyFill="1" applyBorder="1" applyAlignment="1">
      <alignment horizontal="center"/>
    </xf>
    <xf numFmtId="4" fontId="26" fillId="33" borderId="16" xfId="0" applyNumberFormat="1" applyFont="1" applyFill="1" applyBorder="1" applyAlignment="1">
      <alignment/>
    </xf>
    <xf numFmtId="4" fontId="26" fillId="33" borderId="33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209" fontId="5" fillId="33" borderId="15" xfId="42" applyNumberFormat="1" applyFont="1" applyFill="1" applyBorder="1" applyAlignment="1">
      <alignment/>
    </xf>
    <xf numFmtId="20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 indent="6"/>
    </xf>
    <xf numFmtId="209" fontId="38" fillId="33" borderId="15" xfId="0" applyNumberFormat="1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42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205" fontId="5" fillId="33" borderId="13" xfId="42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2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2" fontId="37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0" fillId="33" borderId="20" xfId="0" applyFont="1" applyFill="1" applyBorder="1" applyAlignment="1">
      <alignment horizontal="center"/>
    </xf>
    <xf numFmtId="49" fontId="40" fillId="33" borderId="16" xfId="0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49" fontId="40" fillId="33" borderId="17" xfId="0" applyNumberFormat="1" applyFont="1" applyFill="1" applyBorder="1" applyAlignment="1">
      <alignment horizontal="center"/>
    </xf>
    <xf numFmtId="205" fontId="40" fillId="33" borderId="17" xfId="42" applyNumberFormat="1" applyFont="1" applyFill="1" applyBorder="1" applyAlignment="1">
      <alignment horizontal="right"/>
    </xf>
    <xf numFmtId="207" fontId="40" fillId="33" borderId="0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5" xfId="0" applyFont="1" applyFill="1" applyBorder="1" applyAlignment="1">
      <alignment horizontal="left" indent="4"/>
    </xf>
    <xf numFmtId="49" fontId="40" fillId="33" borderId="15" xfId="0" applyNumberFormat="1" applyFont="1" applyFill="1" applyBorder="1" applyAlignment="1">
      <alignment horizontal="center"/>
    </xf>
    <xf numFmtId="205" fontId="40" fillId="33" borderId="15" xfId="42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205" fontId="40" fillId="33" borderId="15" xfId="42" applyNumberFormat="1" applyFont="1" applyFill="1" applyBorder="1" applyAlignment="1">
      <alignment horizontal="right"/>
    </xf>
    <xf numFmtId="205" fontId="40" fillId="33" borderId="15" xfId="42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left"/>
    </xf>
    <xf numFmtId="0" fontId="40" fillId="33" borderId="12" xfId="0" applyFont="1" applyFill="1" applyBorder="1" applyAlignment="1">
      <alignment/>
    </xf>
    <xf numFmtId="49" fontId="40" fillId="33" borderId="14" xfId="0" applyNumberFormat="1" applyFont="1" applyFill="1" applyBorder="1" applyAlignment="1">
      <alignment horizontal="center"/>
    </xf>
    <xf numFmtId="205" fontId="40" fillId="33" borderId="10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205" fontId="40" fillId="33" borderId="10" xfId="42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49" fontId="40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205" fontId="40" fillId="33" borderId="0" xfId="42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left"/>
    </xf>
    <xf numFmtId="43" fontId="40" fillId="33" borderId="0" xfId="0" applyNumberFormat="1" applyFont="1" applyFill="1" applyBorder="1" applyAlignment="1">
      <alignment horizontal="center"/>
    </xf>
    <xf numFmtId="0" fontId="40" fillId="33" borderId="11" xfId="0" applyFont="1" applyFill="1" applyBorder="1" applyAlignment="1" quotePrefix="1">
      <alignment horizontal="left" indent="8"/>
    </xf>
    <xf numFmtId="0" fontId="40" fillId="33" borderId="10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205" fontId="40" fillId="33" borderId="17" xfId="42" applyNumberFormat="1" applyFont="1" applyFill="1" applyBorder="1" applyAlignment="1">
      <alignment/>
    </xf>
    <xf numFmtId="41" fontId="40" fillId="33" borderId="0" xfId="0" applyNumberFormat="1" applyFont="1" applyFill="1" applyBorder="1" applyAlignment="1">
      <alignment horizontal="center"/>
    </xf>
    <xf numFmtId="41" fontId="40" fillId="33" borderId="15" xfId="0" applyNumberFormat="1" applyFont="1" applyFill="1" applyBorder="1" applyAlignment="1">
      <alignment horizontal="center"/>
    </xf>
    <xf numFmtId="49" fontId="40" fillId="33" borderId="13" xfId="0" applyNumberFormat="1" applyFont="1" applyFill="1" applyBorder="1" applyAlignment="1">
      <alignment horizontal="center"/>
    </xf>
    <xf numFmtId="205" fontId="40" fillId="33" borderId="0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left" indent="5"/>
    </xf>
    <xf numFmtId="3" fontId="40" fillId="33" borderId="0" xfId="0" applyNumberFormat="1" applyFont="1" applyFill="1" applyBorder="1" applyAlignment="1">
      <alignment horizontal="center"/>
    </xf>
    <xf numFmtId="1" fontId="40" fillId="33" borderId="15" xfId="0" applyNumberFormat="1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194" fontId="5" fillId="33" borderId="15" xfId="42" applyNumberFormat="1" applyFont="1" applyFill="1" applyBorder="1" applyAlignment="1">
      <alignment/>
    </xf>
    <xf numFmtId="192" fontId="40" fillId="33" borderId="15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6" xfId="42" applyNumberFormat="1" applyFont="1" applyFill="1" applyBorder="1" applyAlignment="1">
      <alignment horizontal="center"/>
    </xf>
    <xf numFmtId="228" fontId="26" fillId="33" borderId="16" xfId="42" applyNumberFormat="1" applyFont="1" applyFill="1" applyBorder="1" applyAlignment="1">
      <alignment horizontal="right"/>
    </xf>
    <xf numFmtId="228" fontId="26" fillId="33" borderId="16" xfId="42" applyNumberFormat="1" applyFont="1" applyFill="1" applyBorder="1" applyAlignment="1">
      <alignment horizontal="center" vertical="center"/>
    </xf>
    <xf numFmtId="228" fontId="26" fillId="33" borderId="17" xfId="42" applyNumberFormat="1" applyFont="1" applyFill="1" applyBorder="1" applyAlignment="1">
      <alignment horizontal="center"/>
    </xf>
    <xf numFmtId="228" fontId="26" fillId="33" borderId="1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right" vertical="center"/>
    </xf>
    <xf numFmtId="194" fontId="23" fillId="0" borderId="0" xfId="0" applyNumberFormat="1" applyFont="1" applyBorder="1" applyAlignment="1">
      <alignment/>
    </xf>
    <xf numFmtId="194" fontId="20" fillId="0" borderId="21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43" fontId="43" fillId="0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209" fontId="5" fillId="33" borderId="17" xfId="42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 indent="4"/>
    </xf>
    <xf numFmtId="205" fontId="5" fillId="33" borderId="15" xfId="42" applyNumberFormat="1" applyFont="1" applyFill="1" applyBorder="1" applyAlignment="1">
      <alignment/>
    </xf>
    <xf numFmtId="209" fontId="5" fillId="33" borderId="15" xfId="42" applyNumberFormat="1" applyFont="1" applyFill="1" applyBorder="1" applyAlignment="1">
      <alignment horizontal="right"/>
    </xf>
    <xf numFmtId="205" fontId="5" fillId="33" borderId="15" xfId="42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42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5" xfId="0" applyFont="1" applyFill="1" applyBorder="1" applyAlignment="1">
      <alignment horizontal="left" indent="5"/>
    </xf>
    <xf numFmtId="209" fontId="5" fillId="33" borderId="15" xfId="42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indent="2"/>
    </xf>
    <xf numFmtId="43" fontId="5" fillId="33" borderId="15" xfId="42" applyNumberFormat="1" applyFont="1" applyFill="1" applyBorder="1" applyAlignment="1">
      <alignment/>
    </xf>
    <xf numFmtId="43" fontId="38" fillId="33" borderId="14" xfId="0" applyNumberFormat="1" applyFont="1" applyFill="1" applyBorder="1" applyAlignment="1">
      <alignment/>
    </xf>
    <xf numFmtId="43" fontId="38" fillId="33" borderId="14" xfId="42" applyNumberFormat="1" applyFont="1" applyFill="1" applyBorder="1" applyAlignment="1">
      <alignment/>
    </xf>
    <xf numFmtId="4" fontId="5" fillId="33" borderId="15" xfId="42" applyNumberFormat="1" applyFont="1" applyFill="1" applyBorder="1" applyAlignment="1">
      <alignment horizontal="right"/>
    </xf>
    <xf numFmtId="209" fontId="38" fillId="33" borderId="15" xfId="42" applyNumberFormat="1" applyFont="1" applyFill="1" applyBorder="1" applyAlignment="1">
      <alignment horizontal="right"/>
    </xf>
    <xf numFmtId="209" fontId="38" fillId="33" borderId="15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4" fontId="1" fillId="33" borderId="15" xfId="42" applyNumberFormat="1" applyFont="1" applyFill="1" applyBorder="1" applyAlignment="1">
      <alignment/>
    </xf>
    <xf numFmtId="4" fontId="1" fillId="33" borderId="14" xfId="42" applyNumberFormat="1" applyFont="1" applyFill="1" applyBorder="1" applyAlignment="1">
      <alignment/>
    </xf>
    <xf numFmtId="4" fontId="1" fillId="33" borderId="19" xfId="42" applyNumberFormat="1" applyFont="1" applyFill="1" applyBorder="1" applyAlignment="1">
      <alignment/>
    </xf>
    <xf numFmtId="194" fontId="1" fillId="33" borderId="22" xfId="42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4" fontId="40" fillId="33" borderId="24" xfId="42" applyNumberFormat="1" applyFont="1" applyFill="1" applyBorder="1" applyAlignment="1">
      <alignment/>
    </xf>
    <xf numFmtId="205" fontId="40" fillId="33" borderId="13" xfId="42" applyNumberFormat="1" applyFont="1" applyFill="1" applyBorder="1" applyAlignment="1">
      <alignment/>
    </xf>
    <xf numFmtId="0" fontId="40" fillId="33" borderId="11" xfId="0" applyFont="1" applyFill="1" applyBorder="1" applyAlignment="1">
      <alignment horizontal="left" indent="4"/>
    </xf>
    <xf numFmtId="4" fontId="44" fillId="33" borderId="27" xfId="42" applyNumberFormat="1" applyFont="1" applyFill="1" applyBorder="1" applyAlignment="1">
      <alignment horizontal="center"/>
    </xf>
    <xf numFmtId="4" fontId="44" fillId="33" borderId="27" xfId="42" applyNumberFormat="1" applyFont="1" applyFill="1" applyBorder="1" applyAlignment="1">
      <alignment horizontal="center" vertical="center"/>
    </xf>
    <xf numFmtId="228" fontId="44" fillId="33" borderId="27" xfId="42" applyNumberFormat="1" applyFont="1" applyFill="1" applyBorder="1" applyAlignment="1">
      <alignment horizontal="center" vertical="center"/>
    </xf>
    <xf numFmtId="4" fontId="44" fillId="33" borderId="14" xfId="42" applyNumberFormat="1" applyFont="1" applyFill="1" applyBorder="1" applyAlignment="1">
      <alignment horizontal="center"/>
    </xf>
    <xf numFmtId="4" fontId="44" fillId="33" borderId="16" xfId="42" applyNumberFormat="1" applyFont="1" applyFill="1" applyBorder="1" applyAlignment="1">
      <alignment horizontal="center"/>
    </xf>
    <xf numFmtId="4" fontId="44" fillId="33" borderId="30" xfId="42" applyNumberFormat="1" applyFont="1" applyFill="1" applyBorder="1" applyAlignment="1">
      <alignment horizontal="center"/>
    </xf>
    <xf numFmtId="4" fontId="44" fillId="33" borderId="29" xfId="42" applyNumberFormat="1" applyFont="1" applyFill="1" applyBorder="1" applyAlignment="1">
      <alignment horizontal="center" vertical="center"/>
    </xf>
    <xf numFmtId="192" fontId="5" fillId="33" borderId="15" xfId="42" applyNumberFormat="1" applyFont="1" applyFill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209" fontId="37" fillId="33" borderId="0" xfId="0" applyNumberFormat="1" applyFont="1" applyFill="1" applyAlignment="1">
      <alignment/>
    </xf>
    <xf numFmtId="194" fontId="5" fillId="33" borderId="13" xfId="42" applyNumberFormat="1" applyFont="1" applyFill="1" applyBorder="1" applyAlignment="1">
      <alignment/>
    </xf>
    <xf numFmtId="4" fontId="37" fillId="33" borderId="0" xfId="0" applyNumberFormat="1" applyFont="1" applyFill="1" applyAlignment="1">
      <alignment/>
    </xf>
    <xf numFmtId="209" fontId="71" fillId="33" borderId="15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209" fontId="70" fillId="33" borderId="15" xfId="42" applyNumberFormat="1" applyFont="1" applyFill="1" applyBorder="1" applyAlignment="1">
      <alignment/>
    </xf>
    <xf numFmtId="209" fontId="70" fillId="33" borderId="15" xfId="0" applyNumberFormat="1" applyFont="1" applyFill="1" applyBorder="1" applyAlignment="1">
      <alignment/>
    </xf>
    <xf numFmtId="0" fontId="87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71" fillId="33" borderId="13" xfId="42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3" fontId="1" fillId="33" borderId="15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9" xfId="0" applyNumberFormat="1" applyFont="1" applyFill="1" applyBorder="1" applyAlignment="1">
      <alignment/>
    </xf>
    <xf numFmtId="4" fontId="88" fillId="33" borderId="28" xfId="42" applyNumberFormat="1" applyFont="1" applyFill="1" applyBorder="1" applyAlignment="1">
      <alignment horizontal="center"/>
    </xf>
    <xf numFmtId="4" fontId="88" fillId="33" borderId="27" xfId="42" applyNumberFormat="1" applyFont="1" applyFill="1" applyBorder="1" applyAlignment="1">
      <alignment horizontal="center" vertical="center"/>
    </xf>
    <xf numFmtId="4" fontId="88" fillId="33" borderId="27" xfId="42" applyNumberFormat="1" applyFont="1" applyFill="1" applyBorder="1" applyAlignment="1">
      <alignment horizontal="center"/>
    </xf>
    <xf numFmtId="228" fontId="88" fillId="33" borderId="29" xfId="42" applyNumberFormat="1" applyFont="1" applyFill="1" applyBorder="1" applyAlignment="1">
      <alignment horizontal="center" vertical="center"/>
    </xf>
    <xf numFmtId="228" fontId="88" fillId="33" borderId="27" xfId="42" applyNumberFormat="1" applyFont="1" applyFill="1" applyBorder="1" applyAlignment="1">
      <alignment horizontal="center" vertical="center"/>
    </xf>
    <xf numFmtId="0" fontId="89" fillId="33" borderId="0" xfId="0" applyFont="1" applyFill="1" applyAlignment="1">
      <alignment/>
    </xf>
    <xf numFmtId="0" fontId="5" fillId="33" borderId="34" xfId="0" applyFont="1" applyFill="1" applyBorder="1" applyAlignment="1">
      <alignment/>
    </xf>
    <xf numFmtId="205" fontId="5" fillId="33" borderId="18" xfId="42" applyNumberFormat="1" applyFont="1" applyFill="1" applyBorder="1" applyAlignment="1">
      <alignment/>
    </xf>
    <xf numFmtId="194" fontId="1" fillId="33" borderId="0" xfId="42" applyNumberFormat="1" applyFont="1" applyFill="1" applyBorder="1" applyAlignment="1">
      <alignment horizontal="center"/>
    </xf>
    <xf numFmtId="4" fontId="1" fillId="33" borderId="11" xfId="42" applyNumberFormat="1" applyFont="1" applyFill="1" applyBorder="1" applyAlignment="1">
      <alignment horizontal="right"/>
    </xf>
    <xf numFmtId="4" fontId="1" fillId="33" borderId="22" xfId="42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indent="6"/>
    </xf>
    <xf numFmtId="209" fontId="0" fillId="33" borderId="0" xfId="0" applyNumberFormat="1" applyFill="1" applyAlignment="1">
      <alignment/>
    </xf>
    <xf numFmtId="209" fontId="90" fillId="33" borderId="14" xfId="0" applyNumberFormat="1" applyFont="1" applyFill="1" applyBorder="1" applyAlignment="1">
      <alignment horizontal="right"/>
    </xf>
    <xf numFmtId="209" fontId="90" fillId="33" borderId="14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209" fontId="20" fillId="0" borderId="0" xfId="0" applyNumberFormat="1" applyFont="1" applyAlignment="1">
      <alignment horizontal="right"/>
    </xf>
    <xf numFmtId="209" fontId="23" fillId="0" borderId="0" xfId="0" applyNumberFormat="1" applyFont="1" applyAlignment="1">
      <alignment horizontal="center"/>
    </xf>
    <xf numFmtId="4" fontId="24" fillId="0" borderId="15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209" fontId="7" fillId="33" borderId="0" xfId="42" applyNumberFormat="1" applyFont="1" applyFill="1" applyBorder="1" applyAlignment="1">
      <alignment/>
    </xf>
    <xf numFmtId="209" fontId="7" fillId="33" borderId="0" xfId="42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209" fontId="7" fillId="33" borderId="15" xfId="42" applyNumberFormat="1" applyFont="1" applyFill="1" applyBorder="1" applyAlignment="1">
      <alignment/>
    </xf>
    <xf numFmtId="0" fontId="1" fillId="33" borderId="10" xfId="0" applyFont="1" applyFill="1" applyBorder="1" applyAlignment="1" quotePrefix="1">
      <alignment horizontal="left" vertical="center"/>
    </xf>
    <xf numFmtId="43" fontId="5" fillId="33" borderId="0" xfId="0" applyNumberFormat="1" applyFont="1" applyFill="1" applyAlignment="1">
      <alignment/>
    </xf>
    <xf numFmtId="4" fontId="1" fillId="33" borderId="17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3" fontId="45" fillId="33" borderId="0" xfId="42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209" fontId="7" fillId="33" borderId="11" xfId="42" applyNumberFormat="1" applyFont="1" applyFill="1" applyBorder="1" applyAlignment="1">
      <alignment horizontal="right"/>
    </xf>
    <xf numFmtId="43" fontId="1" fillId="33" borderId="15" xfId="4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3" fontId="1" fillId="33" borderId="0" xfId="42" applyFont="1" applyFill="1" applyAlignment="1">
      <alignment horizontal="center"/>
    </xf>
    <xf numFmtId="43" fontId="1" fillId="33" borderId="10" xfId="42" applyFont="1" applyFill="1" applyBorder="1" applyAlignment="1">
      <alignment/>
    </xf>
    <xf numFmtId="43" fontId="1" fillId="33" borderId="0" xfId="0" applyNumberFormat="1" applyFont="1" applyFill="1" applyAlignment="1">
      <alignment horizontal="center"/>
    </xf>
    <xf numFmtId="43" fontId="1" fillId="33" borderId="35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left" vertical="center"/>
    </xf>
    <xf numFmtId="43" fontId="1" fillId="33" borderId="17" xfId="42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49" fontId="26" fillId="33" borderId="34" xfId="42" applyNumberFormat="1" applyFont="1" applyFill="1" applyBorder="1" applyAlignment="1">
      <alignment horizontal="center" vertical="center"/>
    </xf>
    <xf numFmtId="49" fontId="26" fillId="33" borderId="22" xfId="42" applyNumberFormat="1" applyFont="1" applyFill="1" applyBorder="1" applyAlignment="1">
      <alignment horizontal="center" vertical="center"/>
    </xf>
    <xf numFmtId="209" fontId="1" fillId="0" borderId="0" xfId="0" applyNumberFormat="1" applyFont="1" applyAlignment="1">
      <alignment/>
    </xf>
    <xf numFmtId="43" fontId="0" fillId="33" borderId="0" xfId="42" applyFont="1" applyFill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4" fontId="1" fillId="33" borderId="15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left" vertical="center"/>
    </xf>
    <xf numFmtId="43" fontId="1" fillId="33" borderId="15" xfId="42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43" fontId="1" fillId="33" borderId="15" xfId="42" applyNumberFormat="1" applyFont="1" applyFill="1" applyBorder="1" applyAlignment="1">
      <alignment horizontal="right" vertical="center"/>
    </xf>
    <xf numFmtId="43" fontId="25" fillId="33" borderId="17" xfId="42" applyFont="1" applyFill="1" applyBorder="1" applyAlignment="1">
      <alignment horizontal="left" indent="1"/>
    </xf>
    <xf numFmtId="4" fontId="26" fillId="33" borderId="28" xfId="42" applyNumberFormat="1" applyFont="1" applyFill="1" applyBorder="1" applyAlignment="1">
      <alignment horizontal="right"/>
    </xf>
    <xf numFmtId="43" fontId="26" fillId="33" borderId="14" xfId="42" applyNumberFormat="1" applyFont="1" applyFill="1" applyBorder="1" applyAlignment="1">
      <alignment horizontal="center"/>
    </xf>
    <xf numFmtId="43" fontId="26" fillId="33" borderId="14" xfId="0" applyNumberFormat="1" applyFont="1" applyFill="1" applyBorder="1" applyAlignment="1">
      <alignment horizontal="center" vertical="center"/>
    </xf>
    <xf numFmtId="43" fontId="26" fillId="33" borderId="16" xfId="0" applyNumberFormat="1" applyFont="1" applyFill="1" applyBorder="1" applyAlignment="1">
      <alignment horizontal="center" vertical="center"/>
    </xf>
    <xf numFmtId="43" fontId="26" fillId="33" borderId="17" xfId="42" applyNumberFormat="1" applyFont="1" applyFill="1" applyBorder="1" applyAlignment="1">
      <alignment horizontal="center" vertical="center"/>
    </xf>
    <xf numFmtId="43" fontId="26" fillId="33" borderId="14" xfId="42" applyNumberFormat="1" applyFont="1" applyFill="1" applyBorder="1" applyAlignment="1">
      <alignment horizontal="center" vertical="center"/>
    </xf>
    <xf numFmtId="43" fontId="26" fillId="33" borderId="16" xfId="42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 horizontal="left" indent="8"/>
    </xf>
    <xf numFmtId="0" fontId="40" fillId="33" borderId="11" xfId="0" applyFont="1" applyFill="1" applyBorder="1" applyAlignment="1" quotePrefix="1">
      <alignment horizontal="left" indent="14"/>
    </xf>
    <xf numFmtId="43" fontId="40" fillId="33" borderId="0" xfId="0" applyNumberFormat="1" applyFont="1" applyFill="1" applyBorder="1" applyAlignment="1">
      <alignment/>
    </xf>
    <xf numFmtId="2" fontId="91" fillId="33" borderId="0" xfId="0" applyNumberFormat="1" applyFont="1" applyFill="1" applyAlignment="1">
      <alignment/>
    </xf>
    <xf numFmtId="209" fontId="9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9" fontId="1" fillId="33" borderId="0" xfId="59" applyFont="1" applyFill="1" applyAlignment="1">
      <alignment horizontal="center"/>
    </xf>
    <xf numFmtId="0" fontId="23" fillId="0" borderId="0" xfId="0" applyFont="1" applyAlignment="1">
      <alignment horizontal="center"/>
    </xf>
    <xf numFmtId="49" fontId="26" fillId="33" borderId="17" xfId="42" applyNumberFormat="1" applyFont="1" applyFill="1" applyBorder="1" applyAlignment="1">
      <alignment horizontal="center" vertic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20" xfId="42" applyNumberFormat="1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/>
    </xf>
    <xf numFmtId="49" fontId="26" fillId="33" borderId="20" xfId="42" applyNumberFormat="1" applyFont="1" applyFill="1" applyBorder="1" applyAlignment="1">
      <alignment horizontal="center" vertic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34" xfId="42" applyNumberFormat="1" applyFont="1" applyFill="1" applyBorder="1" applyAlignment="1">
      <alignment horizontal="center"/>
    </xf>
    <xf numFmtId="49" fontId="26" fillId="33" borderId="34" xfId="42" applyNumberFormat="1" applyFont="1" applyFill="1" applyBorder="1" applyAlignment="1">
      <alignment horizontal="center" vertical="center"/>
    </xf>
    <xf numFmtId="43" fontId="24" fillId="33" borderId="0" xfId="42" applyFont="1" applyFill="1" applyAlignment="1">
      <alignment horizontal="center"/>
    </xf>
    <xf numFmtId="49" fontId="25" fillId="33" borderId="17" xfId="42" applyNumberFormat="1" applyFont="1" applyFill="1" applyBorder="1" applyAlignment="1">
      <alignment horizontal="right" vertical="center"/>
    </xf>
    <xf numFmtId="49" fontId="25" fillId="33" borderId="14" xfId="42" applyNumberFormat="1" applyFont="1" applyFill="1" applyBorder="1" applyAlignment="1">
      <alignment horizontal="right" vertical="center"/>
    </xf>
    <xf numFmtId="49" fontId="25" fillId="33" borderId="17" xfId="42" applyNumberFormat="1" applyFont="1" applyFill="1" applyBorder="1" applyAlignment="1">
      <alignment horizontal="center" vertical="center"/>
    </xf>
    <xf numFmtId="49" fontId="25" fillId="33" borderId="14" xfId="42" applyNumberFormat="1" applyFont="1" applyFill="1" applyBorder="1" applyAlignment="1">
      <alignment horizontal="center" vertical="center"/>
    </xf>
    <xf numFmtId="43" fontId="24" fillId="33" borderId="0" xfId="42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65</xdr:row>
      <xdr:rowOff>123825</xdr:rowOff>
    </xdr:from>
    <xdr:ext cx="1590675" cy="771525"/>
    <xdr:sp>
      <xdr:nvSpPr>
        <xdr:cNvPr id="1" name="Text Box 11"/>
        <xdr:cNvSpPr txBox="1">
          <a:spLocks noChangeArrowheads="1"/>
        </xdr:cNvSpPr>
      </xdr:nvSpPr>
      <xdr:spPr>
        <a:xfrm>
          <a:off x="2562225" y="18707100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6</xdr:col>
      <xdr:colOff>1143000</xdr:colOff>
      <xdr:row>65</xdr:row>
      <xdr:rowOff>76200</xdr:rowOff>
    </xdr:from>
    <xdr:ext cx="2514600" cy="1057275"/>
    <xdr:sp>
      <xdr:nvSpPr>
        <xdr:cNvPr id="2" name="Text Box 13"/>
        <xdr:cNvSpPr txBox="1">
          <a:spLocks noChangeArrowheads="1"/>
        </xdr:cNvSpPr>
      </xdr:nvSpPr>
      <xdr:spPr>
        <a:xfrm>
          <a:off x="7248525" y="18659475"/>
          <a:ext cx="2514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0</xdr:col>
      <xdr:colOff>66675</xdr:colOff>
      <xdr:row>44</xdr:row>
      <xdr:rowOff>19050</xdr:rowOff>
    </xdr:from>
    <xdr:ext cx="1724025" cy="933450"/>
    <xdr:sp>
      <xdr:nvSpPr>
        <xdr:cNvPr id="3" name="Text Box 5"/>
        <xdr:cNvSpPr txBox="1">
          <a:spLocks noChangeArrowheads="1"/>
        </xdr:cNvSpPr>
      </xdr:nvSpPr>
      <xdr:spPr>
        <a:xfrm>
          <a:off x="66675" y="12773025"/>
          <a:ext cx="172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209550</xdr:colOff>
      <xdr:row>44</xdr:row>
      <xdr:rowOff>57150</xdr:rowOff>
    </xdr:from>
    <xdr:ext cx="2200275" cy="895350"/>
    <xdr:sp>
      <xdr:nvSpPr>
        <xdr:cNvPr id="4" name="Text Box 12"/>
        <xdr:cNvSpPr txBox="1">
          <a:spLocks noChangeArrowheads="1"/>
        </xdr:cNvSpPr>
      </xdr:nvSpPr>
      <xdr:spPr>
        <a:xfrm>
          <a:off x="2038350" y="12811125"/>
          <a:ext cx="2200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ปลัดเทศตำบลท่าสาย</a:t>
          </a:r>
        </a:p>
      </xdr:txBody>
    </xdr:sp>
    <xdr:clientData/>
  </xdr:oneCellAnchor>
  <xdr:oneCellAnchor>
    <xdr:from>
      <xdr:col>4</xdr:col>
      <xdr:colOff>714375</xdr:colOff>
      <xdr:row>43</xdr:row>
      <xdr:rowOff>257175</xdr:rowOff>
    </xdr:from>
    <xdr:ext cx="2647950" cy="1000125"/>
    <xdr:sp>
      <xdr:nvSpPr>
        <xdr:cNvPr id="5" name="Text Box 12"/>
        <xdr:cNvSpPr txBox="1">
          <a:spLocks noChangeArrowheads="1"/>
        </xdr:cNvSpPr>
      </xdr:nvSpPr>
      <xdr:spPr>
        <a:xfrm>
          <a:off x="4629150" y="12725400"/>
          <a:ext cx="26479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1011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20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19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38825" y="1428750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41</xdr:row>
      <xdr:rowOff>0</xdr:rowOff>
    </xdr:from>
    <xdr:to>
      <xdr:col>2</xdr:col>
      <xdr:colOff>866775</xdr:colOff>
      <xdr:row>51</xdr:row>
      <xdr:rowOff>0</xdr:rowOff>
    </xdr:to>
    <xdr:sp>
      <xdr:nvSpPr>
        <xdr:cNvPr id="4" name="Straight Connector 7"/>
        <xdr:cNvSpPr>
          <a:spLocks/>
        </xdr:cNvSpPr>
      </xdr:nvSpPr>
      <xdr:spPr>
        <a:xfrm rot="5400000">
          <a:off x="4895850" y="1182052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41</xdr:row>
      <xdr:rowOff>9525</xdr:rowOff>
    </xdr:from>
    <xdr:to>
      <xdr:col>3</xdr:col>
      <xdr:colOff>771525</xdr:colOff>
      <xdr:row>51</xdr:row>
      <xdr:rowOff>9525</xdr:rowOff>
    </xdr:to>
    <xdr:sp>
      <xdr:nvSpPr>
        <xdr:cNvPr id="5" name="Straight Connector 8"/>
        <xdr:cNvSpPr>
          <a:spLocks/>
        </xdr:cNvSpPr>
      </xdr:nvSpPr>
      <xdr:spPr>
        <a:xfrm rot="5400000">
          <a:off x="5838825" y="118300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77</xdr:row>
      <xdr:rowOff>0</xdr:rowOff>
    </xdr:from>
    <xdr:to>
      <xdr:col>2</xdr:col>
      <xdr:colOff>866775</xdr:colOff>
      <xdr:row>87</xdr:row>
      <xdr:rowOff>0</xdr:rowOff>
    </xdr:to>
    <xdr:sp>
      <xdr:nvSpPr>
        <xdr:cNvPr id="6" name="Straight Connector 9"/>
        <xdr:cNvSpPr>
          <a:spLocks/>
        </xdr:cNvSpPr>
      </xdr:nvSpPr>
      <xdr:spPr>
        <a:xfrm rot="5400000">
          <a:off x="4895850" y="221170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76</xdr:row>
      <xdr:rowOff>266700</xdr:rowOff>
    </xdr:from>
    <xdr:to>
      <xdr:col>3</xdr:col>
      <xdr:colOff>771525</xdr:colOff>
      <xdr:row>86</xdr:row>
      <xdr:rowOff>266700</xdr:rowOff>
    </xdr:to>
    <xdr:sp>
      <xdr:nvSpPr>
        <xdr:cNvPr id="7" name="Straight Connector 10"/>
        <xdr:cNvSpPr>
          <a:spLocks/>
        </xdr:cNvSpPr>
      </xdr:nvSpPr>
      <xdr:spPr>
        <a:xfrm rot="5400000">
          <a:off x="5838825" y="2209800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149</xdr:row>
      <xdr:rowOff>19050</xdr:rowOff>
    </xdr:from>
    <xdr:to>
      <xdr:col>2</xdr:col>
      <xdr:colOff>876300</xdr:colOff>
      <xdr:row>158</xdr:row>
      <xdr:rowOff>276225</xdr:rowOff>
    </xdr:to>
    <xdr:sp>
      <xdr:nvSpPr>
        <xdr:cNvPr id="8" name="ตัวเชื่อมต่อตรง 14"/>
        <xdr:cNvSpPr>
          <a:spLocks/>
        </xdr:cNvSpPr>
      </xdr:nvSpPr>
      <xdr:spPr>
        <a:xfrm rot="5400000">
          <a:off x="4905375" y="427291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781050</xdr:colOff>
      <xdr:row>149</xdr:row>
      <xdr:rowOff>0</xdr:rowOff>
    </xdr:from>
    <xdr:to>
      <xdr:col>3</xdr:col>
      <xdr:colOff>781050</xdr:colOff>
      <xdr:row>158</xdr:row>
      <xdr:rowOff>257175</xdr:rowOff>
    </xdr:to>
    <xdr:sp>
      <xdr:nvSpPr>
        <xdr:cNvPr id="9" name="ตัวเชื่อมต่อตรง 15"/>
        <xdr:cNvSpPr>
          <a:spLocks/>
        </xdr:cNvSpPr>
      </xdr:nvSpPr>
      <xdr:spPr>
        <a:xfrm rot="5400000">
          <a:off x="5848350" y="427101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7</xdr:row>
      <xdr:rowOff>238125</xdr:rowOff>
    </xdr:from>
    <xdr:to>
      <xdr:col>1</xdr:col>
      <xdr:colOff>952500</xdr:colOff>
      <xdr:row>24</xdr:row>
      <xdr:rowOff>266700</xdr:rowOff>
    </xdr:to>
    <xdr:sp>
      <xdr:nvSpPr>
        <xdr:cNvPr id="2" name="Line 124"/>
        <xdr:cNvSpPr>
          <a:spLocks/>
        </xdr:cNvSpPr>
      </xdr:nvSpPr>
      <xdr:spPr>
        <a:xfrm>
          <a:off x="2038350" y="2676525"/>
          <a:ext cx="0" cy="508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25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508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38</xdr:row>
      <xdr:rowOff>276225</xdr:rowOff>
    </xdr:from>
    <xdr:to>
      <xdr:col>0</xdr:col>
      <xdr:colOff>885825</xdr:colOff>
      <xdr:row>51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1925300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39</xdr:row>
      <xdr:rowOff>0</xdr:rowOff>
    </xdr:from>
    <xdr:to>
      <xdr:col>1</xdr:col>
      <xdr:colOff>952500</xdr:colOff>
      <xdr:row>66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19443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38</xdr:row>
      <xdr:rowOff>285750</xdr:rowOff>
    </xdr:from>
    <xdr:to>
      <xdr:col>6</xdr:col>
      <xdr:colOff>904875</xdr:colOff>
      <xdr:row>65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193482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876300</xdr:colOff>
      <xdr:row>9</xdr:row>
      <xdr:rowOff>0</xdr:rowOff>
    </xdr:from>
    <xdr:to>
      <xdr:col>0</xdr:col>
      <xdr:colOff>876300</xdr:colOff>
      <xdr:row>17</xdr:row>
      <xdr:rowOff>0</xdr:rowOff>
    </xdr:to>
    <xdr:sp>
      <xdr:nvSpPr>
        <xdr:cNvPr id="7" name="Line 122"/>
        <xdr:cNvSpPr>
          <a:spLocks/>
        </xdr:cNvSpPr>
      </xdr:nvSpPr>
      <xdr:spPr>
        <a:xfrm>
          <a:off x="876300" y="30289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38100</xdr:colOff>
      <xdr:row>68</xdr:row>
      <xdr:rowOff>209550</xdr:rowOff>
    </xdr:from>
    <xdr:ext cx="1790700" cy="866775"/>
    <xdr:sp>
      <xdr:nvSpPr>
        <xdr:cNvPr id="8" name="Text Box 5"/>
        <xdr:cNvSpPr txBox="1">
          <a:spLocks noChangeArrowheads="1"/>
        </xdr:cNvSpPr>
      </xdr:nvSpPr>
      <xdr:spPr>
        <a:xfrm>
          <a:off x="38100" y="20754975"/>
          <a:ext cx="1790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523875</xdr:colOff>
      <xdr:row>68</xdr:row>
      <xdr:rowOff>190500</xdr:rowOff>
    </xdr:from>
    <xdr:ext cx="1952625" cy="990600"/>
    <xdr:sp>
      <xdr:nvSpPr>
        <xdr:cNvPr id="9" name="Text Box 12"/>
        <xdr:cNvSpPr txBox="1">
          <a:spLocks noChangeArrowheads="1"/>
        </xdr:cNvSpPr>
      </xdr:nvSpPr>
      <xdr:spPr>
        <a:xfrm>
          <a:off x="4191000" y="20735925"/>
          <a:ext cx="19526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ปลัดเทศตำบลท่าสาย</a:t>
          </a:r>
        </a:p>
      </xdr:txBody>
    </xdr:sp>
    <xdr:clientData/>
  </xdr:oneCellAnchor>
  <xdr:oneCellAnchor>
    <xdr:from>
      <xdr:col>1</xdr:col>
      <xdr:colOff>647700</xdr:colOff>
      <xdr:row>68</xdr:row>
      <xdr:rowOff>133350</xdr:rowOff>
    </xdr:from>
    <xdr:ext cx="2838450" cy="990600"/>
    <xdr:sp>
      <xdr:nvSpPr>
        <xdr:cNvPr id="10" name="Text Box 12"/>
        <xdr:cNvSpPr txBox="1">
          <a:spLocks noChangeArrowheads="1"/>
        </xdr:cNvSpPr>
      </xdr:nvSpPr>
      <xdr:spPr>
        <a:xfrm>
          <a:off x="1733550" y="20678775"/>
          <a:ext cx="2838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2371725" cy="942975"/>
    <xdr:sp>
      <xdr:nvSpPr>
        <xdr:cNvPr id="1" name="Text Box 5"/>
        <xdr:cNvSpPr txBox="1">
          <a:spLocks noChangeArrowheads="1"/>
        </xdr:cNvSpPr>
      </xdr:nvSpPr>
      <xdr:spPr>
        <a:xfrm>
          <a:off x="485775" y="12411075"/>
          <a:ext cx="2371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104775</xdr:colOff>
      <xdr:row>37</xdr:row>
      <xdr:rowOff>47625</xdr:rowOff>
    </xdr:from>
    <xdr:ext cx="2924175" cy="1028700"/>
    <xdr:sp>
      <xdr:nvSpPr>
        <xdr:cNvPr id="2" name="Text Box 12"/>
        <xdr:cNvSpPr txBox="1">
          <a:spLocks noChangeArrowheads="1"/>
        </xdr:cNvSpPr>
      </xdr:nvSpPr>
      <xdr:spPr>
        <a:xfrm>
          <a:off x="2457450" y="12458700"/>
          <a:ext cx="29241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0350" cy="952500"/>
    <xdr:sp>
      <xdr:nvSpPr>
        <xdr:cNvPr id="3" name="Text Box 5"/>
        <xdr:cNvSpPr txBox="1">
          <a:spLocks noChangeArrowheads="1"/>
        </xdr:cNvSpPr>
      </xdr:nvSpPr>
      <xdr:spPr>
        <a:xfrm>
          <a:off x="485775" y="19164300"/>
          <a:ext cx="2800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6</xdr:col>
      <xdr:colOff>1123950</xdr:colOff>
      <xdr:row>59</xdr:row>
      <xdr:rowOff>123825</xdr:rowOff>
    </xdr:from>
    <xdr:ext cx="3248025" cy="1038225"/>
    <xdr:sp>
      <xdr:nvSpPr>
        <xdr:cNvPr id="4" name="Text Box 12"/>
        <xdr:cNvSpPr txBox="1">
          <a:spLocks noChangeArrowheads="1"/>
        </xdr:cNvSpPr>
      </xdr:nvSpPr>
      <xdr:spPr>
        <a:xfrm>
          <a:off x="5172075" y="1928812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6</xdr:col>
      <xdr:colOff>1400175</xdr:colOff>
      <xdr:row>37</xdr:row>
      <xdr:rowOff>57150</xdr:rowOff>
    </xdr:from>
    <xdr:ext cx="3000375" cy="942975"/>
    <xdr:sp>
      <xdr:nvSpPr>
        <xdr:cNvPr id="5" name="Text Box 12"/>
        <xdr:cNvSpPr txBox="1">
          <a:spLocks noChangeArrowheads="1"/>
        </xdr:cNvSpPr>
      </xdr:nvSpPr>
      <xdr:spPr>
        <a:xfrm>
          <a:off x="5448300" y="12468225"/>
          <a:ext cx="30003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371475</xdr:colOff>
      <xdr:row>61</xdr:row>
      <xdr:rowOff>114300</xdr:rowOff>
    </xdr:from>
    <xdr:ext cx="3105150" cy="1390650"/>
    <xdr:sp>
      <xdr:nvSpPr>
        <xdr:cNvPr id="6" name="Text Box 12"/>
        <xdr:cNvSpPr txBox="1">
          <a:spLocks noChangeArrowheads="1"/>
        </xdr:cNvSpPr>
      </xdr:nvSpPr>
      <xdr:spPr>
        <a:xfrm>
          <a:off x="2724150" y="19869150"/>
          <a:ext cx="31051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1933575</xdr:colOff>
      <xdr:row>73</xdr:row>
      <xdr:rowOff>57150</xdr:rowOff>
    </xdr:from>
    <xdr:ext cx="3114675" cy="990600"/>
    <xdr:sp>
      <xdr:nvSpPr>
        <xdr:cNvPr id="1" name="Text Box 15"/>
        <xdr:cNvSpPr txBox="1">
          <a:spLocks noChangeArrowheads="1"/>
        </xdr:cNvSpPr>
      </xdr:nvSpPr>
      <xdr:spPr>
        <a:xfrm>
          <a:off x="2543175" y="21193125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419350" cy="952500"/>
    <xdr:sp>
      <xdr:nvSpPr>
        <xdr:cNvPr id="2" name="Text Box 5"/>
        <xdr:cNvSpPr txBox="1">
          <a:spLocks noChangeArrowheads="1"/>
        </xdr:cNvSpPr>
      </xdr:nvSpPr>
      <xdr:spPr>
        <a:xfrm>
          <a:off x="609600" y="6915150"/>
          <a:ext cx="2419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2</xdr:col>
      <xdr:colOff>95250</xdr:colOff>
      <xdr:row>24</xdr:row>
      <xdr:rowOff>85725</xdr:rowOff>
    </xdr:from>
    <xdr:ext cx="3248025" cy="1038225"/>
    <xdr:sp>
      <xdr:nvSpPr>
        <xdr:cNvPr id="3" name="Text Box 12"/>
        <xdr:cNvSpPr txBox="1">
          <a:spLocks noChangeArrowheads="1"/>
        </xdr:cNvSpPr>
      </xdr:nvSpPr>
      <xdr:spPr>
        <a:xfrm>
          <a:off x="4962525" y="700087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1</xdr:col>
      <xdr:colOff>2085975</xdr:colOff>
      <xdr:row>28</xdr:row>
      <xdr:rowOff>228600</xdr:rowOff>
    </xdr:from>
    <xdr:ext cx="3105150" cy="1400175"/>
    <xdr:sp>
      <xdr:nvSpPr>
        <xdr:cNvPr id="4" name="Text Box 12"/>
        <xdr:cNvSpPr txBox="1">
          <a:spLocks noChangeArrowheads="1"/>
        </xdr:cNvSpPr>
      </xdr:nvSpPr>
      <xdr:spPr>
        <a:xfrm>
          <a:off x="2695575" y="8324850"/>
          <a:ext cx="3105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2</xdr:col>
      <xdr:colOff>714375</xdr:colOff>
      <xdr:row>73</xdr:row>
      <xdr:rowOff>104775</xdr:rowOff>
    </xdr:from>
    <xdr:ext cx="2790825" cy="1114425"/>
    <xdr:sp>
      <xdr:nvSpPr>
        <xdr:cNvPr id="5" name="Text Box 12"/>
        <xdr:cNvSpPr txBox="1">
          <a:spLocks noChangeArrowheads="1"/>
        </xdr:cNvSpPr>
      </xdr:nvSpPr>
      <xdr:spPr>
        <a:xfrm>
          <a:off x="5581650" y="21240750"/>
          <a:ext cx="27908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0</xdr:col>
      <xdr:colOff>152400</xdr:colOff>
      <xdr:row>73</xdr:row>
      <xdr:rowOff>142875</xdr:rowOff>
    </xdr:from>
    <xdr:ext cx="2419350" cy="933450"/>
    <xdr:sp>
      <xdr:nvSpPr>
        <xdr:cNvPr id="6" name="Text Box 5"/>
        <xdr:cNvSpPr txBox="1">
          <a:spLocks noChangeArrowheads="1"/>
        </xdr:cNvSpPr>
      </xdr:nvSpPr>
      <xdr:spPr>
        <a:xfrm>
          <a:off x="152400" y="21278850"/>
          <a:ext cx="2419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18</xdr:row>
      <xdr:rowOff>285750</xdr:rowOff>
    </xdr:from>
    <xdr:ext cx="2800350" cy="1438275"/>
    <xdr:sp>
      <xdr:nvSpPr>
        <xdr:cNvPr id="1" name="Text Box 5"/>
        <xdr:cNvSpPr txBox="1">
          <a:spLocks noChangeArrowheads="1"/>
        </xdr:cNvSpPr>
      </xdr:nvSpPr>
      <xdr:spPr>
        <a:xfrm>
          <a:off x="1190625" y="5486400"/>
          <a:ext cx="2800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1905000</xdr:colOff>
      <xdr:row>18</xdr:row>
      <xdr:rowOff>257175</xdr:rowOff>
    </xdr:from>
    <xdr:ext cx="3248025" cy="1038225"/>
    <xdr:sp>
      <xdr:nvSpPr>
        <xdr:cNvPr id="2" name="Text Box 12"/>
        <xdr:cNvSpPr txBox="1">
          <a:spLocks noChangeArrowheads="1"/>
        </xdr:cNvSpPr>
      </xdr:nvSpPr>
      <xdr:spPr>
        <a:xfrm>
          <a:off x="4762500" y="5457825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ปลัดเทศตำบลท่าสาย</a:t>
          </a:r>
        </a:p>
      </xdr:txBody>
    </xdr:sp>
    <xdr:clientData/>
  </xdr:oneCellAnchor>
  <xdr:oneCellAnchor>
    <xdr:from>
      <xdr:col>3</xdr:col>
      <xdr:colOff>609600</xdr:colOff>
      <xdr:row>23</xdr:row>
      <xdr:rowOff>276225</xdr:rowOff>
    </xdr:from>
    <xdr:ext cx="3105150" cy="1400175"/>
    <xdr:sp>
      <xdr:nvSpPr>
        <xdr:cNvPr id="3" name="Text Box 12"/>
        <xdr:cNvSpPr txBox="1">
          <a:spLocks noChangeArrowheads="1"/>
        </xdr:cNvSpPr>
      </xdr:nvSpPr>
      <xdr:spPr>
        <a:xfrm>
          <a:off x="2647950" y="7058025"/>
          <a:ext cx="3105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2800350" cy="1438275"/>
    <xdr:sp>
      <xdr:nvSpPr>
        <xdr:cNvPr id="1" name="Text Box 5"/>
        <xdr:cNvSpPr txBox="1">
          <a:spLocks noChangeArrowheads="1"/>
        </xdr:cNvSpPr>
      </xdr:nvSpPr>
      <xdr:spPr>
        <a:xfrm>
          <a:off x="0" y="6858000"/>
          <a:ext cx="2800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866775</xdr:colOff>
      <xdr:row>21</xdr:row>
      <xdr:rowOff>57150</xdr:rowOff>
    </xdr:from>
    <xdr:ext cx="3009900" cy="1038225"/>
    <xdr:sp>
      <xdr:nvSpPr>
        <xdr:cNvPr id="2" name="Text Box 12"/>
        <xdr:cNvSpPr txBox="1">
          <a:spLocks noChangeArrowheads="1"/>
        </xdr:cNvSpPr>
      </xdr:nvSpPr>
      <xdr:spPr>
        <a:xfrm>
          <a:off x="3086100" y="6877050"/>
          <a:ext cx="3009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ปลัดเทศตำบลท่าสาย</a:t>
          </a:r>
        </a:p>
      </xdr:txBody>
    </xdr:sp>
    <xdr:clientData/>
  </xdr:oneCellAnchor>
  <xdr:oneCellAnchor>
    <xdr:from>
      <xdr:col>1</xdr:col>
      <xdr:colOff>647700</xdr:colOff>
      <xdr:row>25</xdr:row>
      <xdr:rowOff>209550</xdr:rowOff>
    </xdr:from>
    <xdr:ext cx="3048000" cy="1285875"/>
    <xdr:sp>
      <xdr:nvSpPr>
        <xdr:cNvPr id="3" name="Text Box 12"/>
        <xdr:cNvSpPr txBox="1">
          <a:spLocks noChangeArrowheads="1"/>
        </xdr:cNvSpPr>
      </xdr:nvSpPr>
      <xdr:spPr>
        <a:xfrm>
          <a:off x="1276350" y="8210550"/>
          <a:ext cx="30480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077075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0</xdr:col>
      <xdr:colOff>0</xdr:colOff>
      <xdr:row>23</xdr:row>
      <xdr:rowOff>304800</xdr:rowOff>
    </xdr:from>
    <xdr:ext cx="2562225" cy="1247775"/>
    <xdr:sp>
      <xdr:nvSpPr>
        <xdr:cNvPr id="2" name="Text Box 5"/>
        <xdr:cNvSpPr txBox="1">
          <a:spLocks noChangeArrowheads="1"/>
        </xdr:cNvSpPr>
      </xdr:nvSpPr>
      <xdr:spPr>
        <a:xfrm>
          <a:off x="0" y="7105650"/>
          <a:ext cx="25622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4</xdr:col>
      <xdr:colOff>485775</xdr:colOff>
      <xdr:row>24</xdr:row>
      <xdr:rowOff>38100</xdr:rowOff>
    </xdr:from>
    <xdr:ext cx="2981325" cy="1409700"/>
    <xdr:sp>
      <xdr:nvSpPr>
        <xdr:cNvPr id="3" name="Text Box 12"/>
        <xdr:cNvSpPr txBox="1">
          <a:spLocks noChangeArrowheads="1"/>
        </xdr:cNvSpPr>
      </xdr:nvSpPr>
      <xdr:spPr>
        <a:xfrm>
          <a:off x="5181600" y="7143750"/>
          <a:ext cx="29813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2009775</xdr:colOff>
      <xdr:row>26</xdr:row>
      <xdr:rowOff>66675</xdr:rowOff>
    </xdr:from>
    <xdr:ext cx="3048000" cy="1219200"/>
    <xdr:sp>
      <xdr:nvSpPr>
        <xdr:cNvPr id="4" name="Text Box 12"/>
        <xdr:cNvSpPr txBox="1">
          <a:spLocks noChangeArrowheads="1"/>
        </xdr:cNvSpPr>
      </xdr:nvSpPr>
      <xdr:spPr>
        <a:xfrm>
          <a:off x="2305050" y="7762875"/>
          <a:ext cx="30480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118</xdr:row>
      <xdr:rowOff>85725</xdr:rowOff>
    </xdr:from>
    <xdr:ext cx="2019300" cy="0"/>
    <xdr:sp>
      <xdr:nvSpPr>
        <xdr:cNvPr id="1" name="Text Box 5"/>
        <xdr:cNvSpPr txBox="1">
          <a:spLocks noChangeArrowheads="1"/>
        </xdr:cNvSpPr>
      </xdr:nvSpPr>
      <xdr:spPr>
        <a:xfrm>
          <a:off x="3838575" y="3328035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14</xdr:col>
      <xdr:colOff>0</xdr:colOff>
      <xdr:row>118</xdr:row>
      <xdr:rowOff>171450</xdr:rowOff>
    </xdr:from>
    <xdr:ext cx="2705100" cy="28575"/>
    <xdr:sp>
      <xdr:nvSpPr>
        <xdr:cNvPr id="2" name="Text Box 12"/>
        <xdr:cNvSpPr txBox="1">
          <a:spLocks noChangeArrowheads="1"/>
        </xdr:cNvSpPr>
      </xdr:nvSpPr>
      <xdr:spPr>
        <a:xfrm>
          <a:off x="10077450" y="33366075"/>
          <a:ext cx="2705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23</xdr:col>
      <xdr:colOff>228600</xdr:colOff>
      <xdr:row>118</xdr:row>
      <xdr:rowOff>171450</xdr:rowOff>
    </xdr:from>
    <xdr:ext cx="2905125" cy="28575"/>
    <xdr:sp>
      <xdr:nvSpPr>
        <xdr:cNvPr id="3" name="Text Box 12"/>
        <xdr:cNvSpPr txBox="1">
          <a:spLocks noChangeArrowheads="1"/>
        </xdr:cNvSpPr>
      </xdr:nvSpPr>
      <xdr:spPr>
        <a:xfrm>
          <a:off x="15563850" y="33366075"/>
          <a:ext cx="2905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  <xdr:oneCellAnchor>
    <xdr:from>
      <xdr:col>7</xdr:col>
      <xdr:colOff>247650</xdr:colOff>
      <xdr:row>118</xdr:row>
      <xdr:rowOff>85725</xdr:rowOff>
    </xdr:from>
    <xdr:ext cx="2562225" cy="962025"/>
    <xdr:sp>
      <xdr:nvSpPr>
        <xdr:cNvPr id="4" name="Text Box 5"/>
        <xdr:cNvSpPr txBox="1">
          <a:spLocks noChangeArrowheads="1"/>
        </xdr:cNvSpPr>
      </xdr:nvSpPr>
      <xdr:spPr>
        <a:xfrm>
          <a:off x="6115050" y="33280350"/>
          <a:ext cx="2562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14</xdr:col>
      <xdr:colOff>161925</xdr:colOff>
      <xdr:row>118</xdr:row>
      <xdr:rowOff>123825</xdr:rowOff>
    </xdr:from>
    <xdr:ext cx="2981325" cy="981075"/>
    <xdr:sp>
      <xdr:nvSpPr>
        <xdr:cNvPr id="5" name="Text Box 12"/>
        <xdr:cNvSpPr txBox="1">
          <a:spLocks noChangeArrowheads="1"/>
        </xdr:cNvSpPr>
      </xdr:nvSpPr>
      <xdr:spPr>
        <a:xfrm>
          <a:off x="10239375" y="33318450"/>
          <a:ext cx="29813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22</xdr:col>
      <xdr:colOff>142875</xdr:colOff>
      <xdr:row>118</xdr:row>
      <xdr:rowOff>76200</xdr:rowOff>
    </xdr:from>
    <xdr:ext cx="3048000" cy="942975"/>
    <xdr:sp>
      <xdr:nvSpPr>
        <xdr:cNvPr id="6" name="Text Box 12"/>
        <xdr:cNvSpPr txBox="1">
          <a:spLocks noChangeArrowheads="1"/>
        </xdr:cNvSpPr>
      </xdr:nvSpPr>
      <xdr:spPr>
        <a:xfrm>
          <a:off x="14773275" y="33270825"/>
          <a:ext cx="3048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(ลงชื่อ)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นายชัยยศ  หม่อมพกุล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นายกเทศมนตรีเทศบาลตำบลท่าสาย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</xdr:row>
      <xdr:rowOff>0</xdr:rowOff>
    </xdr:from>
    <xdr:to>
      <xdr:col>2</xdr:col>
      <xdr:colOff>914400</xdr:colOff>
      <xdr:row>44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476375"/>
          <a:ext cx="0" cy="1151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</xdr:row>
      <xdr:rowOff>0</xdr:rowOff>
    </xdr:from>
    <xdr:to>
      <xdr:col>3</xdr:col>
      <xdr:colOff>876300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476375"/>
          <a:ext cx="0" cy="1151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56</xdr:row>
      <xdr:rowOff>0</xdr:rowOff>
    </xdr:from>
    <xdr:to>
      <xdr:col>2</xdr:col>
      <xdr:colOff>914400</xdr:colOff>
      <xdr:row>90</xdr:row>
      <xdr:rowOff>9525</xdr:rowOff>
    </xdr:to>
    <xdr:sp>
      <xdr:nvSpPr>
        <xdr:cNvPr id="3" name="Line 1"/>
        <xdr:cNvSpPr>
          <a:spLocks/>
        </xdr:cNvSpPr>
      </xdr:nvSpPr>
      <xdr:spPr>
        <a:xfrm>
          <a:off x="6696075" y="16354425"/>
          <a:ext cx="0" cy="1004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56</xdr:row>
      <xdr:rowOff>0</xdr:rowOff>
    </xdr:from>
    <xdr:to>
      <xdr:col>3</xdr:col>
      <xdr:colOff>876300</xdr:colOff>
      <xdr:row>90</xdr:row>
      <xdr:rowOff>9525</xdr:rowOff>
    </xdr:to>
    <xdr:sp>
      <xdr:nvSpPr>
        <xdr:cNvPr id="4" name="Line 2"/>
        <xdr:cNvSpPr>
          <a:spLocks/>
        </xdr:cNvSpPr>
      </xdr:nvSpPr>
      <xdr:spPr>
        <a:xfrm>
          <a:off x="7772400" y="16354425"/>
          <a:ext cx="0" cy="1004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101</xdr:row>
      <xdr:rowOff>0</xdr:rowOff>
    </xdr:from>
    <xdr:to>
      <xdr:col>2</xdr:col>
      <xdr:colOff>914400</xdr:colOff>
      <xdr:row>138</xdr:row>
      <xdr:rowOff>9525</xdr:rowOff>
    </xdr:to>
    <xdr:sp>
      <xdr:nvSpPr>
        <xdr:cNvPr id="5" name="Line 1"/>
        <xdr:cNvSpPr>
          <a:spLocks/>
        </xdr:cNvSpPr>
      </xdr:nvSpPr>
      <xdr:spPr>
        <a:xfrm>
          <a:off x="6696075" y="29603700"/>
          <a:ext cx="0" cy="1093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101</xdr:row>
      <xdr:rowOff>0</xdr:rowOff>
    </xdr:from>
    <xdr:to>
      <xdr:col>3</xdr:col>
      <xdr:colOff>876300</xdr:colOff>
      <xdr:row>138</xdr:row>
      <xdr:rowOff>9525</xdr:rowOff>
    </xdr:to>
    <xdr:sp>
      <xdr:nvSpPr>
        <xdr:cNvPr id="6" name="Line 2"/>
        <xdr:cNvSpPr>
          <a:spLocks/>
        </xdr:cNvSpPr>
      </xdr:nvSpPr>
      <xdr:spPr>
        <a:xfrm>
          <a:off x="7772400" y="29603700"/>
          <a:ext cx="0" cy="1093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914400</xdr:colOff>
      <xdr:row>147</xdr:row>
      <xdr:rowOff>0</xdr:rowOff>
    </xdr:from>
    <xdr:to>
      <xdr:col>2</xdr:col>
      <xdr:colOff>914400</xdr:colOff>
      <xdr:row>182</xdr:row>
      <xdr:rowOff>9525</xdr:rowOff>
    </xdr:to>
    <xdr:sp>
      <xdr:nvSpPr>
        <xdr:cNvPr id="7" name="Line 1"/>
        <xdr:cNvSpPr>
          <a:spLocks/>
        </xdr:cNvSpPr>
      </xdr:nvSpPr>
      <xdr:spPr>
        <a:xfrm>
          <a:off x="6696075" y="43148250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147</xdr:row>
      <xdr:rowOff>0</xdr:rowOff>
    </xdr:from>
    <xdr:to>
      <xdr:col>3</xdr:col>
      <xdr:colOff>876300</xdr:colOff>
      <xdr:row>182</xdr:row>
      <xdr:rowOff>9525</xdr:rowOff>
    </xdr:to>
    <xdr:sp>
      <xdr:nvSpPr>
        <xdr:cNvPr id="8" name="Line 2"/>
        <xdr:cNvSpPr>
          <a:spLocks/>
        </xdr:cNvSpPr>
      </xdr:nvSpPr>
      <xdr:spPr>
        <a:xfrm>
          <a:off x="7772400" y="43148250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591;&#3610;&#3648;&#3604;&#3639;&#3629;&#3609;%20%20&#3611;&#3637;&#3591;&#3610;&#3611;&#3619;&#3632;&#3617;&#3634;&#3603;%202555\&#3591;&#3610;&#3648;&#3604;&#3639;&#3629;&#3609;&#3585;&#3633;&#3609;&#3618;&#3634;&#3618;&#3609;%20%2025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หลังปิดบัญชี"/>
      <sheetName val="งบแสดงฐานะการเงิน"/>
      <sheetName val="รับ-จ่ายจริงปิดงบ (ทั้งปี)"/>
      <sheetName val="รับ-จ่ายจริงปิดงบ(กันยา)"/>
      <sheetName val="รายจ่ายค้างจ่าย"/>
      <sheetName val="เงินรับฝาก"/>
      <sheetName val="Sheet4"/>
      <sheetName val="Sheet1"/>
      <sheetName val="งบทดลอง1"/>
      <sheetName val="รับ-จ่ายเงินสด (2)"/>
      <sheetName val="539-6-01276-5"/>
      <sheetName val="001-2-50657-8"/>
      <sheetName val="รายละเอียด"/>
      <sheetName val="001-4-10325-7"/>
      <sheetName val="001-2-62433-8"/>
      <sheetName val="504-0-23040-0"/>
      <sheetName val="รายละเอียดเงินอุดหนุนเฉพาะกิจ"/>
      <sheetName val="ลูกหนี้เงินยืม 2"/>
      <sheetName val="รายจ่ายค้างจ่าย 1"/>
      <sheetName val="รายละเอียดเงินสะสม"/>
      <sheetName val="รายงานยอดเงินสะสม"/>
      <sheetName val="รายละเอียดเงินรับฝาก"/>
      <sheetName val="งบกระทบยอด"/>
      <sheetName val="ส่งใช้"/>
      <sheetName val="มาตรฐาน 1"/>
      <sheetName val="มาตรฐาน2"/>
      <sheetName val="มาตรฐาน 3"/>
      <sheetName val="Sheet2"/>
      <sheetName val="รายการปรับปรุงทั่วไป"/>
      <sheetName val="โอนเงินสินเดือน"/>
      <sheetName val="รายการโอน"/>
      <sheetName val="งบทดลอง1 (2)"/>
      <sheetName val="รายการปรับปรุงต้นปี"/>
    </sheetNames>
    <sheetDataSet>
      <sheetData sheetId="8">
        <row r="1">
          <cell r="A1" t="str">
            <v>เทศบาลตำบลท่าสาย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77"/>
  <sheetViews>
    <sheetView zoomScale="98" zoomScaleNormal="98" zoomScaleSheetLayoutView="75" zoomScalePageLayoutView="0" workbookViewId="0" topLeftCell="A31">
      <selection activeCell="A40" sqref="A40"/>
    </sheetView>
  </sheetViews>
  <sheetFormatPr defaultColWidth="9.140625" defaultRowHeight="21.75"/>
  <cols>
    <col min="1" max="3" width="9.140625" style="13" customWidth="1"/>
    <col min="4" max="4" width="31.28125" style="13" customWidth="1"/>
    <col min="5" max="5" width="12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0" width="12.7109375" style="13" bestFit="1" customWidth="1"/>
    <col min="11" max="11" width="13.7109375" style="13" customWidth="1"/>
    <col min="12" max="16384" width="9.140625" style="13" customWidth="1"/>
  </cols>
  <sheetData>
    <row r="1" spans="1:7" ht="26.25">
      <c r="A1" s="565" t="s">
        <v>510</v>
      </c>
      <c r="B1" s="565"/>
      <c r="C1" s="565"/>
      <c r="D1" s="565"/>
      <c r="E1" s="565"/>
      <c r="F1" s="565"/>
      <c r="G1" s="565"/>
    </row>
    <row r="2" spans="1:7" ht="23.25">
      <c r="A2" s="566" t="s">
        <v>367</v>
      </c>
      <c r="B2" s="566"/>
      <c r="C2" s="566"/>
      <c r="D2" s="566"/>
      <c r="E2" s="566"/>
      <c r="F2" s="566"/>
      <c r="G2" s="566"/>
    </row>
    <row r="3" spans="1:7" ht="23.25">
      <c r="A3" s="567" t="s">
        <v>648</v>
      </c>
      <c r="B3" s="567"/>
      <c r="C3" s="567"/>
      <c r="D3" s="567"/>
      <c r="E3" s="567"/>
      <c r="F3" s="567"/>
      <c r="G3" s="567"/>
    </row>
    <row r="4" spans="1:7" ht="6" customHeight="1">
      <c r="A4" s="98"/>
      <c r="B4" s="98"/>
      <c r="C4" s="98"/>
      <c r="D4" s="98"/>
      <c r="E4" s="98"/>
      <c r="F4" s="98"/>
      <c r="G4" s="98"/>
    </row>
    <row r="5" spans="1:7" ht="21.75">
      <c r="A5" s="568" t="s">
        <v>36</v>
      </c>
      <c r="B5" s="569"/>
      <c r="C5" s="569"/>
      <c r="D5" s="570"/>
      <c r="E5" s="574" t="s">
        <v>35</v>
      </c>
      <c r="F5" s="574" t="s">
        <v>37</v>
      </c>
      <c r="G5" s="574" t="s">
        <v>38</v>
      </c>
    </row>
    <row r="6" spans="1:7" ht="21.75">
      <c r="A6" s="571"/>
      <c r="B6" s="572"/>
      <c r="C6" s="572"/>
      <c r="D6" s="573"/>
      <c r="E6" s="575"/>
      <c r="F6" s="575"/>
      <c r="G6" s="575"/>
    </row>
    <row r="7" spans="1:7" ht="23.25">
      <c r="A7" s="576" t="s">
        <v>39</v>
      </c>
      <c r="B7" s="577"/>
      <c r="C7" s="577"/>
      <c r="D7" s="577"/>
      <c r="E7" s="99" t="s">
        <v>286</v>
      </c>
      <c r="F7" s="455">
        <v>22345</v>
      </c>
      <c r="G7" s="100"/>
    </row>
    <row r="8" spans="1:7" ht="23.25">
      <c r="A8" s="101" t="s">
        <v>40</v>
      </c>
      <c r="B8" s="102"/>
      <c r="C8" s="102"/>
      <c r="D8" s="102"/>
      <c r="E8" s="103" t="s">
        <v>287</v>
      </c>
      <c r="F8" s="274">
        <v>0</v>
      </c>
      <c r="G8" s="104"/>
    </row>
    <row r="9" spans="1:10" ht="23.25">
      <c r="A9" s="563" t="s">
        <v>98</v>
      </c>
      <c r="B9" s="564"/>
      <c r="C9" s="564"/>
      <c r="D9" s="564"/>
      <c r="E9" s="103" t="s">
        <v>288</v>
      </c>
      <c r="F9" s="274">
        <v>3948383.5</v>
      </c>
      <c r="G9" s="104"/>
      <c r="H9" s="287"/>
      <c r="J9" s="287"/>
    </row>
    <row r="10" spans="1:7" ht="23.25">
      <c r="A10" s="101" t="s">
        <v>104</v>
      </c>
      <c r="B10" s="102"/>
      <c r="C10" s="102"/>
      <c r="D10" s="102"/>
      <c r="E10" s="103" t="s">
        <v>288</v>
      </c>
      <c r="F10" s="274">
        <v>0</v>
      </c>
      <c r="G10" s="104"/>
    </row>
    <row r="11" spans="1:7" ht="23.25">
      <c r="A11" s="101" t="s">
        <v>109</v>
      </c>
      <c r="B11" s="102"/>
      <c r="C11" s="102"/>
      <c r="D11" s="102"/>
      <c r="E11" s="103" t="s">
        <v>288</v>
      </c>
      <c r="F11" s="274">
        <v>0</v>
      </c>
      <c r="G11" s="104"/>
    </row>
    <row r="12" spans="1:10" ht="23.25">
      <c r="A12" s="101" t="s">
        <v>97</v>
      </c>
      <c r="B12" s="102"/>
      <c r="C12" s="102"/>
      <c r="D12" s="102"/>
      <c r="E12" s="103" t="s">
        <v>289</v>
      </c>
      <c r="F12" s="273">
        <f>2293.81+145.39</f>
        <v>2439.2</v>
      </c>
      <c r="G12" s="104"/>
      <c r="J12" s="91"/>
    </row>
    <row r="13" spans="1:8" ht="23.25">
      <c r="A13" s="563" t="s">
        <v>99</v>
      </c>
      <c r="B13" s="564"/>
      <c r="C13" s="564"/>
      <c r="D13" s="564"/>
      <c r="E13" s="103" t="s">
        <v>289</v>
      </c>
      <c r="F13" s="273">
        <v>23171623.74</v>
      </c>
      <c r="G13" s="104"/>
      <c r="H13" s="41"/>
    </row>
    <row r="14" spans="1:11" ht="23.25">
      <c r="A14" s="563" t="s">
        <v>100</v>
      </c>
      <c r="B14" s="564"/>
      <c r="C14" s="564"/>
      <c r="D14" s="564"/>
      <c r="E14" s="103" t="s">
        <v>289</v>
      </c>
      <c r="F14" s="273">
        <v>329071.77</v>
      </c>
      <c r="G14" s="104"/>
      <c r="K14" s="543"/>
    </row>
    <row r="15" spans="1:9" ht="23.25">
      <c r="A15" s="563" t="s">
        <v>101</v>
      </c>
      <c r="B15" s="564"/>
      <c r="C15" s="564"/>
      <c r="D15" s="564"/>
      <c r="E15" s="103" t="s">
        <v>290</v>
      </c>
      <c r="F15" s="273">
        <v>3078200.96</v>
      </c>
      <c r="G15" s="104"/>
      <c r="H15" s="105">
        <f>SUM(F7:F17)</f>
        <v>37197090.92999999</v>
      </c>
      <c r="I15" s="105">
        <f>H15-'รับ-จ่ายเงินสด (2)'!G66</f>
        <v>0</v>
      </c>
    </row>
    <row r="16" spans="1:11" ht="23.25">
      <c r="A16" s="101" t="s">
        <v>169</v>
      </c>
      <c r="B16" s="102"/>
      <c r="C16" s="102"/>
      <c r="D16" s="102"/>
      <c r="E16" s="103" t="s">
        <v>290</v>
      </c>
      <c r="F16" s="273">
        <v>6632262.53</v>
      </c>
      <c r="G16" s="104"/>
      <c r="K16" s="91"/>
    </row>
    <row r="17" spans="1:8" ht="23.25">
      <c r="A17" s="563" t="s">
        <v>379</v>
      </c>
      <c r="B17" s="564"/>
      <c r="C17" s="564"/>
      <c r="D17" s="564"/>
      <c r="E17" s="103" t="s">
        <v>289</v>
      </c>
      <c r="F17" s="274">
        <v>12764.23</v>
      </c>
      <c r="G17" s="104"/>
      <c r="H17" s="41"/>
    </row>
    <row r="18" spans="1:7" ht="23.25">
      <c r="A18" s="563" t="s">
        <v>48</v>
      </c>
      <c r="B18" s="564"/>
      <c r="C18" s="564"/>
      <c r="D18" s="564"/>
      <c r="E18" s="103" t="s">
        <v>291</v>
      </c>
      <c r="F18" s="274">
        <f>13753.32+17995.32+66000+13753.32+33000+16595.32+32500+13753.32+32500+32500+152389.32+25117.32-2554+469403.32+31025.32+97500</f>
        <v>1045231.88</v>
      </c>
      <c r="G18" s="104"/>
    </row>
    <row r="19" spans="1:9" ht="23.25">
      <c r="A19" s="563" t="s">
        <v>42</v>
      </c>
      <c r="B19" s="564"/>
      <c r="C19" s="564"/>
      <c r="D19" s="564"/>
      <c r="E19" s="103" t="s">
        <v>292</v>
      </c>
      <c r="F19" s="274">
        <f>365635+365635+366067.57+595578.2+564632.05+599095+588975+588975+588975</f>
        <v>4623567.82</v>
      </c>
      <c r="G19" s="104"/>
      <c r="I19" s="287"/>
    </row>
    <row r="20" spans="1:7" ht="23.25">
      <c r="A20" s="563" t="s">
        <v>56</v>
      </c>
      <c r="B20" s="564"/>
      <c r="C20" s="564"/>
      <c r="D20" s="564"/>
      <c r="E20" s="103" t="s">
        <v>293</v>
      </c>
      <c r="F20" s="274">
        <f>127660+127660+127660+127660+115150+140170+127660+127660+127660</f>
        <v>1148940</v>
      </c>
      <c r="G20" s="104"/>
    </row>
    <row r="21" spans="1:7" ht="23.25">
      <c r="A21" s="563" t="s">
        <v>56</v>
      </c>
      <c r="B21" s="564"/>
      <c r="C21" s="564"/>
      <c r="D21" s="564"/>
      <c r="E21" s="103" t="s">
        <v>294</v>
      </c>
      <c r="F21" s="274">
        <f>900+900+900+900+900+900+900+900+900</f>
        <v>8100</v>
      </c>
      <c r="G21" s="104"/>
    </row>
    <row r="22" spans="1:7" ht="23.25">
      <c r="A22" s="563" t="s">
        <v>43</v>
      </c>
      <c r="B22" s="564"/>
      <c r="C22" s="564"/>
      <c r="D22" s="564"/>
      <c r="E22" s="103" t="s">
        <v>295</v>
      </c>
      <c r="F22" s="274">
        <f>33830+51855-3000+39925+47410+37047.5+25018+23311+55861.5+54086</f>
        <v>365344</v>
      </c>
      <c r="G22" s="104"/>
    </row>
    <row r="23" spans="1:10" ht="23.25">
      <c r="A23" s="563" t="s">
        <v>44</v>
      </c>
      <c r="B23" s="564"/>
      <c r="C23" s="564"/>
      <c r="D23" s="564"/>
      <c r="E23" s="103" t="s">
        <v>296</v>
      </c>
      <c r="F23" s="274">
        <f>68453+3000+492732.31+17700+3800+7260+5480+3000+242332.25+100100+9540+16780+120900+15400+22500+305000+4200+2282+25200+7200+24750+6740+10000+1696+1738+3800+218723.1+3140+2282+55400+13770+354273.75+7720+7360+4000+47216+4000+2448+480+85591.02+14976+8400+128751+26000+46456+133759.21+69080</f>
        <v>2755409.64</v>
      </c>
      <c r="G23" s="104"/>
      <c r="I23" s="41"/>
      <c r="J23" s="41"/>
    </row>
    <row r="24" spans="1:10" ht="23.25">
      <c r="A24" s="563" t="s">
        <v>44</v>
      </c>
      <c r="B24" s="564"/>
      <c r="C24" s="564"/>
      <c r="D24" s="564"/>
      <c r="E24" s="103" t="s">
        <v>296</v>
      </c>
      <c r="F24" s="274">
        <f>126254+167496+18010+2840+24360+13200+3284+227287.25+40000+187356.25+6900+193593.71+3900</f>
        <v>1014481.21</v>
      </c>
      <c r="G24" s="104"/>
      <c r="I24" s="41"/>
      <c r="J24" s="41"/>
    </row>
    <row r="25" spans="1:9" ht="23.25">
      <c r="A25" s="563" t="s">
        <v>45</v>
      </c>
      <c r="B25" s="564"/>
      <c r="C25" s="564"/>
      <c r="D25" s="564"/>
      <c r="E25" s="103" t="s">
        <v>297</v>
      </c>
      <c r="F25" s="274">
        <f>9280+43831.1+79302.43+65776+53312.5+93543.4+62578.63+102203.39+117967.25</f>
        <v>627794.7</v>
      </c>
      <c r="G25" s="104"/>
      <c r="I25" s="41"/>
    </row>
    <row r="26" spans="1:7" ht="23.25">
      <c r="A26" s="563" t="s">
        <v>45</v>
      </c>
      <c r="B26" s="564"/>
      <c r="C26" s="564"/>
      <c r="D26" s="564"/>
      <c r="E26" s="103" t="s">
        <v>492</v>
      </c>
      <c r="F26" s="274">
        <f>72325.44+8038+114995+58998.94+73300.66+136804.97+30010.8+53116.54</f>
        <v>547590.35</v>
      </c>
      <c r="G26" s="104"/>
    </row>
    <row r="27" spans="1:7" ht="23.25">
      <c r="A27" s="563" t="s">
        <v>46</v>
      </c>
      <c r="B27" s="564"/>
      <c r="C27" s="564"/>
      <c r="D27" s="564"/>
      <c r="E27" s="103" t="s">
        <v>298</v>
      </c>
      <c r="F27" s="274">
        <f>24903.99+41153.45+35542.68+33896.58+28319.94+44807.13+9118.54+2702+35585.98</f>
        <v>256030.29000000004</v>
      </c>
      <c r="G27" s="104"/>
    </row>
    <row r="28" spans="1:7" ht="23.25">
      <c r="A28" s="563" t="s">
        <v>46</v>
      </c>
      <c r="B28" s="564"/>
      <c r="C28" s="564"/>
      <c r="D28" s="564"/>
      <c r="E28" s="103" t="s">
        <v>534</v>
      </c>
      <c r="F28" s="274">
        <f>22753.38+2350.79+28871.65+88750.47+35702.31</f>
        <v>178428.6</v>
      </c>
      <c r="G28" s="104"/>
    </row>
    <row r="29" spans="1:7" ht="23.25">
      <c r="A29" s="101" t="s">
        <v>47</v>
      </c>
      <c r="B29" s="102"/>
      <c r="C29" s="102"/>
      <c r="D29" s="102"/>
      <c r="E29" s="103" t="s">
        <v>581</v>
      </c>
      <c r="F29" s="274">
        <v>887635</v>
      </c>
      <c r="G29" s="104"/>
    </row>
    <row r="30" spans="1:7" ht="23.25">
      <c r="A30" s="101" t="s">
        <v>47</v>
      </c>
      <c r="B30" s="102"/>
      <c r="C30" s="102"/>
      <c r="D30" s="102"/>
      <c r="E30" s="103" t="s">
        <v>582</v>
      </c>
      <c r="F30" s="274">
        <f>634400+35000+65000+612000+50000</f>
        <v>1396400</v>
      </c>
      <c r="G30" s="104"/>
    </row>
    <row r="31" spans="1:7" ht="23.25">
      <c r="A31" s="101" t="s">
        <v>79</v>
      </c>
      <c r="B31" s="102"/>
      <c r="C31" s="102"/>
      <c r="D31" s="102"/>
      <c r="E31" s="103"/>
      <c r="F31" s="274">
        <f>22450+16050+18100+37771</f>
        <v>94371</v>
      </c>
      <c r="G31" s="104"/>
    </row>
    <row r="32" spans="1:7" ht="23.25">
      <c r="A32" s="101" t="s">
        <v>79</v>
      </c>
      <c r="B32" s="102"/>
      <c r="C32" s="102"/>
      <c r="D32" s="102"/>
      <c r="E32" s="103"/>
      <c r="F32" s="274">
        <f>107100+113850+39090+752700</f>
        <v>1012740</v>
      </c>
      <c r="G32" s="104"/>
    </row>
    <row r="33" spans="1:7" ht="23.25">
      <c r="A33" s="101" t="s">
        <v>80</v>
      </c>
      <c r="B33" s="102"/>
      <c r="C33" s="102"/>
      <c r="D33" s="102"/>
      <c r="E33" s="103" t="s">
        <v>611</v>
      </c>
      <c r="F33" s="274">
        <v>5700</v>
      </c>
      <c r="G33" s="104"/>
    </row>
    <row r="34" spans="1:7" ht="23.25">
      <c r="A34" s="101" t="s">
        <v>368</v>
      </c>
      <c r="B34" s="102"/>
      <c r="C34" s="102"/>
      <c r="D34" s="289"/>
      <c r="E34" s="107"/>
      <c r="F34" s="290">
        <f>'ลูกหนี้เงินยืม 2'!H57</f>
        <v>35732</v>
      </c>
      <c r="G34" s="104"/>
    </row>
    <row r="35" spans="1:7" ht="23.25">
      <c r="A35" s="108" t="s">
        <v>41</v>
      </c>
      <c r="B35" s="49"/>
      <c r="C35" s="49"/>
      <c r="D35" s="155"/>
      <c r="E35" s="107" t="s">
        <v>299</v>
      </c>
      <c r="F35" s="275">
        <v>68187.05</v>
      </c>
      <c r="G35" s="104"/>
    </row>
    <row r="36" spans="1:7" ht="23.25">
      <c r="A36" s="108" t="s">
        <v>727</v>
      </c>
      <c r="B36" s="49"/>
      <c r="C36" s="49"/>
      <c r="D36" s="155"/>
      <c r="E36" s="107"/>
      <c r="F36" s="275"/>
      <c r="G36" s="452">
        <f>'รายจ่ายค้างจ่าย 1'!E21</f>
        <v>500</v>
      </c>
    </row>
    <row r="37" spans="1:7" ht="23.25">
      <c r="A37" s="101" t="s">
        <v>728</v>
      </c>
      <c r="B37" s="102"/>
      <c r="C37" s="102"/>
      <c r="D37" s="289"/>
      <c r="E37" s="107" t="s">
        <v>300</v>
      </c>
      <c r="F37" s="275"/>
      <c r="G37" s="452">
        <f>รายละเอียดเงินสะสม!G15</f>
        <v>13396438.79</v>
      </c>
    </row>
    <row r="38" spans="1:7" ht="23.25">
      <c r="A38" s="101" t="s">
        <v>105</v>
      </c>
      <c r="B38" s="102"/>
      <c r="C38" s="102"/>
      <c r="D38" s="289"/>
      <c r="E38" s="107" t="s">
        <v>301</v>
      </c>
      <c r="F38" s="275"/>
      <c r="G38" s="452">
        <v>10202558.85</v>
      </c>
    </row>
    <row r="39" spans="1:7" ht="22.5" customHeight="1">
      <c r="A39" s="108" t="s">
        <v>113</v>
      </c>
      <c r="B39" s="49"/>
      <c r="C39" s="49"/>
      <c r="D39" s="155"/>
      <c r="E39" s="109">
        <v>400000</v>
      </c>
      <c r="F39" s="275"/>
      <c r="G39" s="452">
        <f>741545.85+4942434.19+1143595.5+951720.52+3804963.23+5166632.21+4659272.82+2732847.33-291+2367765.09</f>
        <v>26510485.74</v>
      </c>
    </row>
    <row r="40" spans="1:7" ht="22.5" customHeight="1">
      <c r="A40" s="108" t="s">
        <v>729</v>
      </c>
      <c r="B40" s="49"/>
      <c r="C40" s="49"/>
      <c r="D40" s="155"/>
      <c r="E40" s="109">
        <v>400000</v>
      </c>
      <c r="F40" s="275"/>
      <c r="G40" s="452">
        <f>+เงินอุดหนุนเฉพาะกิจ!F18</f>
        <v>2155022.000000002</v>
      </c>
    </row>
    <row r="41" spans="1:7" ht="23.25">
      <c r="A41" s="108" t="s">
        <v>730</v>
      </c>
      <c r="B41" s="49"/>
      <c r="C41" s="49"/>
      <c r="D41" s="155"/>
      <c r="E41" s="109">
        <v>230100</v>
      </c>
      <c r="F41" s="275"/>
      <c r="G41" s="452">
        <f>รายละเอียดเงินรับฝาก!G23</f>
        <v>815506.2100000001</v>
      </c>
    </row>
    <row r="42" spans="1:7" s="14" customFormat="1" ht="23.25">
      <c r="A42" s="108" t="s">
        <v>731</v>
      </c>
      <c r="B42" s="49"/>
      <c r="C42" s="49"/>
      <c r="D42" s="155"/>
      <c r="E42" s="109">
        <v>210500</v>
      </c>
      <c r="F42" s="291"/>
      <c r="G42" s="453">
        <f>'รายจ่ายค้างจ่าย 1'!E55</f>
        <v>188262.8799999999</v>
      </c>
    </row>
    <row r="43" spans="1:9" ht="24" thickBot="1">
      <c r="A43" s="110"/>
      <c r="B43" s="111"/>
      <c r="C43" s="111"/>
      <c r="D43" s="292"/>
      <c r="E43" s="106"/>
      <c r="F43" s="276">
        <f>SUM(F7:F42)</f>
        <v>53268774.47</v>
      </c>
      <c r="G43" s="454">
        <f>SUM(G36:G42)</f>
        <v>53268774.47</v>
      </c>
      <c r="I43" s="287">
        <f>F43-G43</f>
        <v>0</v>
      </c>
    </row>
    <row r="44" ht="22.5" thickTop="1"/>
    <row r="45" spans="5:7" ht="21.75">
      <c r="E45" s="112"/>
      <c r="F45" s="422"/>
      <c r="G45" s="91"/>
    </row>
    <row r="46" ht="21.75"/>
    <row r="47" ht="21.75">
      <c r="G47" s="91"/>
    </row>
    <row r="48" spans="1:7" ht="21.75">
      <c r="A48" s="89"/>
      <c r="B48" s="89"/>
      <c r="C48" s="89"/>
      <c r="D48" s="89"/>
      <c r="E48" s="113"/>
      <c r="F48" s="114"/>
      <c r="G48" s="115"/>
    </row>
    <row r="49" spans="1:7" ht="22.5">
      <c r="A49" s="578"/>
      <c r="B49" s="578"/>
      <c r="C49" s="578"/>
      <c r="D49" s="578"/>
      <c r="E49" s="578"/>
      <c r="F49" s="578"/>
      <c r="G49" s="578"/>
    </row>
    <row r="50" spans="1:7" ht="22.5">
      <c r="A50" s="578"/>
      <c r="B50" s="578"/>
      <c r="C50" s="578"/>
      <c r="D50" s="578"/>
      <c r="E50" s="578"/>
      <c r="F50" s="578"/>
      <c r="G50" s="578"/>
    </row>
    <row r="51" spans="1:7" ht="22.5">
      <c r="A51" s="578"/>
      <c r="B51" s="578"/>
      <c r="C51" s="578"/>
      <c r="D51" s="578"/>
      <c r="E51" s="578"/>
      <c r="F51" s="578"/>
      <c r="G51" s="578"/>
    </row>
    <row r="54" ht="21.75">
      <c r="D54" s="116"/>
    </row>
    <row r="56" ht="21.75">
      <c r="F56" s="13" t="s">
        <v>116</v>
      </c>
    </row>
    <row r="66" spans="1:7" ht="21.75">
      <c r="A66" s="578" t="s">
        <v>132</v>
      </c>
      <c r="B66" s="578"/>
      <c r="C66" s="578"/>
      <c r="D66" s="578"/>
      <c r="E66" s="578"/>
      <c r="F66" s="578"/>
      <c r="G66" s="578"/>
    </row>
    <row r="67" spans="1:7" ht="21.75">
      <c r="A67" s="578" t="s">
        <v>126</v>
      </c>
      <c r="B67" s="578"/>
      <c r="C67" s="578"/>
      <c r="D67" s="578"/>
      <c r="E67" s="578"/>
      <c r="F67" s="578"/>
      <c r="G67" s="578"/>
    </row>
    <row r="68" spans="1:7" ht="21.75">
      <c r="A68" s="578" t="s">
        <v>120</v>
      </c>
      <c r="B68" s="578"/>
      <c r="C68" s="578"/>
      <c r="D68" s="578"/>
      <c r="E68" s="578"/>
      <c r="F68" s="578"/>
      <c r="G68" s="578"/>
    </row>
    <row r="69" ht="21.75"/>
    <row r="70" ht="21.75"/>
    <row r="75" spans="1:7" ht="22.5">
      <c r="A75" s="578" t="s">
        <v>131</v>
      </c>
      <c r="B75" s="578"/>
      <c r="C75" s="578"/>
      <c r="D75" s="578"/>
      <c r="E75" s="578"/>
      <c r="F75" s="578"/>
      <c r="G75" s="578"/>
    </row>
    <row r="76" spans="1:7" ht="22.5">
      <c r="A76" s="578" t="s">
        <v>130</v>
      </c>
      <c r="B76" s="578"/>
      <c r="C76" s="578"/>
      <c r="D76" s="578"/>
      <c r="E76" s="578"/>
      <c r="F76" s="578"/>
      <c r="G76" s="578"/>
    </row>
    <row r="77" spans="1:7" ht="22.5">
      <c r="A77" s="578" t="s">
        <v>125</v>
      </c>
      <c r="B77" s="578"/>
      <c r="C77" s="578"/>
      <c r="D77" s="578"/>
      <c r="E77" s="578"/>
      <c r="F77" s="578"/>
      <c r="G77" s="578"/>
    </row>
  </sheetData>
  <sheetProtection/>
  <mergeCells count="33">
    <mergeCell ref="A28:D28"/>
    <mergeCell ref="A49:G49"/>
    <mergeCell ref="A50:G50"/>
    <mergeCell ref="A77:G77"/>
    <mergeCell ref="A66:G66"/>
    <mergeCell ref="A67:G67"/>
    <mergeCell ref="A68:G68"/>
    <mergeCell ref="A75:G75"/>
    <mergeCell ref="A76:G76"/>
    <mergeCell ref="A51:G51"/>
    <mergeCell ref="A7:D7"/>
    <mergeCell ref="A9:D9"/>
    <mergeCell ref="A13:D13"/>
    <mergeCell ref="A21:D21"/>
    <mergeCell ref="A14:D14"/>
    <mergeCell ref="A15:D15"/>
    <mergeCell ref="A17:D17"/>
    <mergeCell ref="A18:D18"/>
    <mergeCell ref="A19:D19"/>
    <mergeCell ref="A1:G1"/>
    <mergeCell ref="A2:G2"/>
    <mergeCell ref="A3:G3"/>
    <mergeCell ref="A5:D6"/>
    <mergeCell ref="E5:E6"/>
    <mergeCell ref="F5:F6"/>
    <mergeCell ref="G5:G6"/>
    <mergeCell ref="A27:D27"/>
    <mergeCell ref="A25:D25"/>
    <mergeCell ref="A20:D20"/>
    <mergeCell ref="A22:D22"/>
    <mergeCell ref="A23:D23"/>
    <mergeCell ref="A26:D26"/>
    <mergeCell ref="A24:D24"/>
  </mergeCells>
  <printOptions/>
  <pageMargins left="0.984251968503937" right="0.1968503937007874" top="0.2755905511811024" bottom="0.1968503937007874" header="0.15748031496062992" footer="0.15748031496062992"/>
  <pageSetup horizontalDpi="180" verticalDpi="18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E65" sqref="E65"/>
    </sheetView>
  </sheetViews>
  <sheetFormatPr defaultColWidth="9.140625" defaultRowHeight="21.75"/>
  <cols>
    <col min="1" max="1" width="9.140625" style="166" customWidth="1"/>
    <col min="2" max="2" width="63.8515625" style="166" customWidth="1"/>
    <col min="3" max="3" width="20.140625" style="166" customWidth="1"/>
    <col min="4" max="4" width="17.00390625" style="167" customWidth="1"/>
    <col min="5" max="5" width="18.8515625" style="166" customWidth="1"/>
    <col min="6" max="6" width="14.7109375" style="166" customWidth="1"/>
    <col min="7" max="7" width="4.7109375" style="166" customWidth="1"/>
    <col min="8" max="16384" width="9.140625" style="166" customWidth="1"/>
  </cols>
  <sheetData>
    <row r="1" ht="23.25">
      <c r="E1" s="168" t="s">
        <v>470</v>
      </c>
    </row>
    <row r="2" spans="1:7" ht="23.25">
      <c r="A2" s="661" t="str">
        <f>งบทดลอง1!A1</f>
        <v>เทศบาลตำบลท่าสาย</v>
      </c>
      <c r="B2" s="661"/>
      <c r="C2" s="661"/>
      <c r="D2" s="661"/>
      <c r="E2" s="661"/>
      <c r="F2" s="656"/>
      <c r="G2" s="656"/>
    </row>
    <row r="3" spans="1:7" ht="23.25">
      <c r="A3" s="661" t="s">
        <v>55</v>
      </c>
      <c r="B3" s="661"/>
      <c r="C3" s="661"/>
      <c r="D3" s="661"/>
      <c r="E3" s="661"/>
      <c r="F3" s="169"/>
      <c r="G3" s="169"/>
    </row>
    <row r="4" spans="1:5" ht="23.25">
      <c r="A4" s="662" t="str">
        <f>งบทดลอง1!A3</f>
        <v>ณ  วันที่   30  มิถุนายน  2556</v>
      </c>
      <c r="B4" s="662"/>
      <c r="C4" s="662"/>
      <c r="D4" s="662"/>
      <c r="E4" s="662"/>
    </row>
    <row r="5" spans="1:5" ht="8.25" customHeight="1">
      <c r="A5" s="170"/>
      <c r="B5" s="170"/>
      <c r="C5" s="170"/>
      <c r="D5" s="170"/>
      <c r="E5" s="170"/>
    </row>
    <row r="6" spans="1:5" ht="23.25">
      <c r="A6" s="657" t="s">
        <v>85</v>
      </c>
      <c r="B6" s="659" t="s">
        <v>102</v>
      </c>
      <c r="C6" s="171" t="s">
        <v>64</v>
      </c>
      <c r="D6" s="172" t="s">
        <v>86</v>
      </c>
      <c r="E6" s="173" t="s">
        <v>87</v>
      </c>
    </row>
    <row r="7" spans="1:5" ht="23.25">
      <c r="A7" s="658"/>
      <c r="B7" s="660"/>
      <c r="C7" s="174" t="s">
        <v>52</v>
      </c>
      <c r="D7" s="175" t="s">
        <v>52</v>
      </c>
      <c r="E7" s="176" t="s">
        <v>52</v>
      </c>
    </row>
    <row r="8" spans="1:5" ht="23.25">
      <c r="A8" s="177" t="s">
        <v>116</v>
      </c>
      <c r="B8" s="187" t="s">
        <v>302</v>
      </c>
      <c r="C8" s="178"/>
      <c r="D8" s="179"/>
      <c r="E8" s="178" t="s">
        <v>116</v>
      </c>
    </row>
    <row r="9" spans="1:5" ht="23.25">
      <c r="A9" s="177">
        <v>1</v>
      </c>
      <c r="B9" s="199" t="s">
        <v>493</v>
      </c>
      <c r="C9" s="178">
        <v>19562</v>
      </c>
      <c r="D9" s="179">
        <v>19562</v>
      </c>
      <c r="E9" s="178">
        <f>+C9-D9</f>
        <v>0</v>
      </c>
    </row>
    <row r="10" spans="1:5" ht="23.25">
      <c r="A10" s="177"/>
      <c r="B10" s="199" t="s">
        <v>494</v>
      </c>
      <c r="C10" s="178">
        <v>4800</v>
      </c>
      <c r="D10" s="179">
        <v>4800</v>
      </c>
      <c r="E10" s="178">
        <f>+C10-D10</f>
        <v>0</v>
      </c>
    </row>
    <row r="11" spans="1:5" ht="23.25">
      <c r="A11" s="177"/>
      <c r="B11" s="183" t="s">
        <v>495</v>
      </c>
      <c r="C11" s="178">
        <v>60000</v>
      </c>
      <c r="D11" s="179">
        <v>60000</v>
      </c>
      <c r="E11" s="178">
        <f aca="true" t="shared" si="0" ref="E11:E20">+C11-D11</f>
        <v>0</v>
      </c>
    </row>
    <row r="12" spans="1:5" ht="23.25">
      <c r="A12" s="177"/>
      <c r="B12" s="183" t="s">
        <v>496</v>
      </c>
      <c r="C12" s="178">
        <v>76600</v>
      </c>
      <c r="D12" s="179">
        <v>76600</v>
      </c>
      <c r="E12" s="178">
        <f t="shared" si="0"/>
        <v>0</v>
      </c>
    </row>
    <row r="13" spans="1:5" ht="23.25">
      <c r="A13" s="177"/>
      <c r="B13" s="183" t="s">
        <v>497</v>
      </c>
      <c r="C13" s="178">
        <v>143500</v>
      </c>
      <c r="D13" s="179">
        <v>143500</v>
      </c>
      <c r="E13" s="178">
        <f t="shared" si="0"/>
        <v>0</v>
      </c>
    </row>
    <row r="14" spans="1:5" ht="23.25">
      <c r="A14" s="177"/>
      <c r="B14" s="183" t="s">
        <v>498</v>
      </c>
      <c r="C14" s="178">
        <v>147500</v>
      </c>
      <c r="D14" s="179">
        <v>147500</v>
      </c>
      <c r="E14" s="178">
        <f t="shared" si="0"/>
        <v>0</v>
      </c>
    </row>
    <row r="15" spans="1:5" ht="23.25">
      <c r="A15" s="177"/>
      <c r="B15" s="183" t="s">
        <v>499</v>
      </c>
      <c r="C15" s="178">
        <v>145000</v>
      </c>
      <c r="D15" s="179">
        <v>145000</v>
      </c>
      <c r="E15" s="178">
        <f t="shared" si="0"/>
        <v>0</v>
      </c>
    </row>
    <row r="16" spans="1:5" ht="23.25">
      <c r="A16" s="177"/>
      <c r="B16" s="183" t="s">
        <v>500</v>
      </c>
      <c r="C16" s="178">
        <v>140500</v>
      </c>
      <c r="D16" s="179">
        <v>140500</v>
      </c>
      <c r="E16" s="178">
        <f t="shared" si="0"/>
        <v>0</v>
      </c>
    </row>
    <row r="17" spans="1:5" ht="23.25">
      <c r="A17" s="177"/>
      <c r="B17" s="183" t="s">
        <v>502</v>
      </c>
      <c r="C17" s="178">
        <v>149500</v>
      </c>
      <c r="D17" s="179">
        <v>149500</v>
      </c>
      <c r="E17" s="178">
        <f t="shared" si="0"/>
        <v>0</v>
      </c>
    </row>
    <row r="18" spans="1:5" ht="23.25">
      <c r="A18" s="177">
        <v>2</v>
      </c>
      <c r="B18" s="183" t="s">
        <v>501</v>
      </c>
      <c r="C18" s="201">
        <v>143000</v>
      </c>
      <c r="D18" s="181">
        <v>142500</v>
      </c>
      <c r="E18" s="178">
        <f t="shared" si="0"/>
        <v>500</v>
      </c>
    </row>
    <row r="19" spans="1:5" ht="23.25">
      <c r="A19" s="182"/>
      <c r="B19" s="200"/>
      <c r="C19" s="201"/>
      <c r="D19" s="185"/>
      <c r="E19" s="178">
        <f t="shared" si="0"/>
        <v>0</v>
      </c>
    </row>
    <row r="20" spans="1:5" ht="23.25">
      <c r="A20" s="186"/>
      <c r="B20" s="199"/>
      <c r="C20" s="201"/>
      <c r="D20" s="184"/>
      <c r="E20" s="178">
        <f t="shared" si="0"/>
        <v>0</v>
      </c>
    </row>
    <row r="21" spans="1:6" ht="24" thickBot="1">
      <c r="A21" s="188"/>
      <c r="B21" s="189" t="s">
        <v>123</v>
      </c>
      <c r="C21" s="190">
        <f>SUM(C9:C20)</f>
        <v>1029962</v>
      </c>
      <c r="D21" s="190">
        <f>SUM(D9:D20)</f>
        <v>1029462</v>
      </c>
      <c r="E21" s="190">
        <f>SUM(E9:E20)</f>
        <v>500</v>
      </c>
      <c r="F21" s="516"/>
    </row>
    <row r="22" spans="1:5" ht="24" thickTop="1">
      <c r="A22" s="180"/>
      <c r="B22" s="180"/>
      <c r="C22" s="180"/>
      <c r="D22" s="192"/>
      <c r="E22" s="180"/>
    </row>
    <row r="23" spans="1:5" ht="23.25">
      <c r="A23" s="180"/>
      <c r="B23" s="180"/>
      <c r="C23" s="180"/>
      <c r="D23" s="192"/>
      <c r="E23" s="180"/>
    </row>
    <row r="24" spans="1:5" ht="23.25">
      <c r="A24" s="180"/>
      <c r="B24" s="180"/>
      <c r="C24" s="180"/>
      <c r="D24" s="192"/>
      <c r="E24" s="180"/>
    </row>
    <row r="25" spans="1:5" ht="23.25">
      <c r="A25" s="180"/>
      <c r="B25" s="180"/>
      <c r="C25" s="180"/>
      <c r="D25" s="192"/>
      <c r="E25" s="180"/>
    </row>
    <row r="26" spans="1:5" ht="23.25">
      <c r="A26" s="180"/>
      <c r="B26" s="180"/>
      <c r="C26" s="180"/>
      <c r="D26" s="192"/>
      <c r="E26" s="180"/>
    </row>
    <row r="27" spans="1:5" ht="23.25">
      <c r="A27" s="180"/>
      <c r="B27" s="180"/>
      <c r="C27" s="180"/>
      <c r="D27" s="192"/>
      <c r="E27" s="180"/>
    </row>
    <row r="28" spans="1:5" ht="23.25">
      <c r="A28" s="180"/>
      <c r="B28" s="180"/>
      <c r="C28" s="180"/>
      <c r="D28" s="192"/>
      <c r="E28" s="180"/>
    </row>
    <row r="29" spans="1:5" ht="23.25">
      <c r="A29" s="180"/>
      <c r="B29" s="180"/>
      <c r="C29" s="203"/>
      <c r="D29" s="192"/>
      <c r="E29" s="180"/>
    </row>
    <row r="30" ht="20.25" customHeight="1"/>
    <row r="31" ht="23.25"/>
    <row r="32" ht="23.25"/>
    <row r="33" ht="23.25"/>
    <row r="34" ht="23.25"/>
    <row r="47" ht="23.25">
      <c r="E47" s="168" t="s">
        <v>530</v>
      </c>
    </row>
    <row r="48" spans="1:5" ht="23.25">
      <c r="A48" s="661" t="str">
        <f>งบทดลอง1!A1</f>
        <v>เทศบาลตำบลท่าสาย</v>
      </c>
      <c r="B48" s="661"/>
      <c r="C48" s="661"/>
      <c r="D48" s="661"/>
      <c r="E48" s="661"/>
    </row>
    <row r="49" spans="1:5" ht="23.25">
      <c r="A49" s="661" t="s">
        <v>303</v>
      </c>
      <c r="B49" s="661"/>
      <c r="C49" s="661"/>
      <c r="D49" s="661"/>
      <c r="E49" s="661"/>
    </row>
    <row r="50" spans="1:5" ht="23.25">
      <c r="A50" s="662" t="str">
        <f>งบทดลอง1!A3</f>
        <v>ณ  วันที่   30  มิถุนายน  2556</v>
      </c>
      <c r="B50" s="662"/>
      <c r="C50" s="662"/>
      <c r="D50" s="662"/>
      <c r="E50" s="662"/>
    </row>
    <row r="51" spans="1:5" ht="23.25">
      <c r="A51" s="170"/>
      <c r="B51" s="170"/>
      <c r="C51" s="170"/>
      <c r="D51" s="170"/>
      <c r="E51" s="170"/>
    </row>
    <row r="52" spans="1:5" ht="23.25">
      <c r="A52" s="657" t="s">
        <v>85</v>
      </c>
      <c r="B52" s="659" t="s">
        <v>102</v>
      </c>
      <c r="C52" s="171" t="s">
        <v>64</v>
      </c>
      <c r="D52" s="172" t="s">
        <v>86</v>
      </c>
      <c r="E52" s="173" t="s">
        <v>87</v>
      </c>
    </row>
    <row r="53" spans="1:5" ht="23.25">
      <c r="A53" s="658"/>
      <c r="B53" s="660"/>
      <c r="C53" s="174" t="s">
        <v>52</v>
      </c>
      <c r="D53" s="175" t="s">
        <v>52</v>
      </c>
      <c r="E53" s="176" t="s">
        <v>52</v>
      </c>
    </row>
    <row r="54" spans="1:5" ht="23.25">
      <c r="A54" s="177" t="s">
        <v>116</v>
      </c>
      <c r="B54" s="187" t="s">
        <v>302</v>
      </c>
      <c r="C54" s="178"/>
      <c r="D54" s="179"/>
      <c r="E54" s="178" t="s">
        <v>116</v>
      </c>
    </row>
    <row r="55" spans="1:5" ht="23.25">
      <c r="A55" s="177">
        <v>1</v>
      </c>
      <c r="B55" s="183" t="s">
        <v>304</v>
      </c>
      <c r="C55" s="201">
        <v>1543460</v>
      </c>
      <c r="D55" s="181">
        <v>1355197.12</v>
      </c>
      <c r="E55" s="178">
        <f>C55-D55</f>
        <v>188262.8799999999</v>
      </c>
    </row>
    <row r="56" spans="1:5" ht="23.25">
      <c r="A56" s="177"/>
      <c r="B56" s="183"/>
      <c r="C56" s="201"/>
      <c r="D56" s="181"/>
      <c r="E56" s="178"/>
    </row>
    <row r="57" spans="1:5" ht="23.25">
      <c r="A57" s="177"/>
      <c r="B57" s="198"/>
      <c r="C57" s="201"/>
      <c r="D57" s="181"/>
      <c r="E57" s="178"/>
    </row>
    <row r="58" spans="1:5" ht="23.25">
      <c r="A58" s="177"/>
      <c r="B58" s="198"/>
      <c r="C58" s="201"/>
      <c r="D58" s="181"/>
      <c r="E58" s="178"/>
    </row>
    <row r="59" spans="1:5" ht="23.25">
      <c r="A59" s="177"/>
      <c r="B59" s="198"/>
      <c r="C59" s="201"/>
      <c r="D59" s="181"/>
      <c r="E59" s="178"/>
    </row>
    <row r="60" spans="1:5" ht="23.25">
      <c r="A60" s="177"/>
      <c r="B60" s="198"/>
      <c r="C60" s="201"/>
      <c r="D60" s="181"/>
      <c r="E60" s="178"/>
    </row>
    <row r="61" spans="1:5" ht="23.25">
      <c r="A61" s="177"/>
      <c r="B61" s="198"/>
      <c r="C61" s="201"/>
      <c r="D61" s="181"/>
      <c r="E61" s="178"/>
    </row>
    <row r="62" spans="1:5" ht="23.25">
      <c r="A62" s="177"/>
      <c r="B62" s="198"/>
      <c r="C62" s="201"/>
      <c r="D62" s="181"/>
      <c r="E62" s="178"/>
    </row>
    <row r="63" spans="1:5" ht="23.25">
      <c r="A63" s="177"/>
      <c r="B63" s="198"/>
      <c r="C63" s="201"/>
      <c r="D63" s="181"/>
      <c r="E63" s="178"/>
    </row>
    <row r="64" spans="1:5" ht="23.25">
      <c r="A64" s="177"/>
      <c r="B64" s="198"/>
      <c r="C64" s="201"/>
      <c r="D64" s="181"/>
      <c r="E64" s="178"/>
    </row>
    <row r="65" spans="1:5" ht="23.25">
      <c r="A65" s="177"/>
      <c r="B65" s="198"/>
      <c r="C65" s="201"/>
      <c r="D65" s="179"/>
      <c r="E65" s="178"/>
    </row>
    <row r="66" spans="1:5" ht="23.25">
      <c r="A66" s="177"/>
      <c r="B66" s="198"/>
      <c r="C66" s="201"/>
      <c r="D66" s="179"/>
      <c r="E66" s="178"/>
    </row>
    <row r="67" spans="1:5" ht="23.25">
      <c r="A67" s="182"/>
      <c r="B67" s="200"/>
      <c r="C67" s="201"/>
      <c r="D67" s="185"/>
      <c r="E67" s="202"/>
    </row>
    <row r="68" spans="1:5" ht="23.25">
      <c r="A68" s="186"/>
      <c r="B68" s="199"/>
      <c r="C68" s="201"/>
      <c r="D68" s="184"/>
      <c r="E68" s="204"/>
    </row>
    <row r="69" spans="1:5" ht="24" thickBot="1">
      <c r="A69" s="188"/>
      <c r="B69" s="189" t="s">
        <v>123</v>
      </c>
      <c r="C69" s="190">
        <f>C55+C56+C57+C58+C59+C60+C61+C62+C63+C64+C65+C66</f>
        <v>1543460</v>
      </c>
      <c r="D69" s="190">
        <f>D55+D58+D59+D60+D61+D62+D63+D64+D65+D66</f>
        <v>1355197.12</v>
      </c>
      <c r="E69" s="191">
        <f>C69-D69</f>
        <v>188262.8799999999</v>
      </c>
    </row>
    <row r="70" spans="1:5" ht="24" thickTop="1">
      <c r="A70" s="180"/>
      <c r="B70" s="180"/>
      <c r="C70" s="180"/>
      <c r="D70" s="192"/>
      <c r="E70" s="180"/>
    </row>
    <row r="71" spans="1:5" ht="23.25">
      <c r="A71" s="180"/>
      <c r="B71" s="180"/>
      <c r="C71" s="180"/>
      <c r="D71" s="192"/>
      <c r="E71" s="180"/>
    </row>
    <row r="72" spans="1:5" ht="23.25">
      <c r="A72" s="180"/>
      <c r="B72" s="180"/>
      <c r="C72" s="180"/>
      <c r="D72" s="192"/>
      <c r="E72" s="180"/>
    </row>
    <row r="73" spans="1:5" ht="23.25">
      <c r="A73" s="180"/>
      <c r="B73" s="180"/>
      <c r="C73" s="203"/>
      <c r="D73" s="192"/>
      <c r="E73" s="180"/>
    </row>
    <row r="75" ht="23.25"/>
    <row r="76" ht="23.25"/>
  </sheetData>
  <sheetProtection/>
  <mergeCells count="11">
    <mergeCell ref="A48:E48"/>
    <mergeCell ref="A49:E49"/>
    <mergeCell ref="A50:E50"/>
    <mergeCell ref="A52:A53"/>
    <mergeCell ref="B52:B53"/>
    <mergeCell ref="F2:G2"/>
    <mergeCell ref="A6:A7"/>
    <mergeCell ref="B6:B7"/>
    <mergeCell ref="A2:E2"/>
    <mergeCell ref="A3:E3"/>
    <mergeCell ref="A4:E4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46"/>
  <sheetViews>
    <sheetView zoomScalePageLayoutView="0" workbookViewId="0" topLeftCell="A1">
      <selection activeCell="E6" sqref="E6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64" t="s">
        <v>739</v>
      </c>
      <c r="H1" s="664"/>
    </row>
    <row r="2" spans="1:8" ht="23.25">
      <c r="A2" s="663" t="str">
        <f>งบทดลอง1!A1</f>
        <v>เทศบาลตำบลท่าสาย</v>
      </c>
      <c r="B2" s="663"/>
      <c r="C2" s="663"/>
      <c r="D2" s="663"/>
      <c r="E2" s="663"/>
      <c r="F2" s="663"/>
      <c r="G2" s="663"/>
      <c r="H2" s="663"/>
    </row>
    <row r="3" spans="1:8" ht="23.25">
      <c r="A3" s="663" t="s">
        <v>112</v>
      </c>
      <c r="B3" s="663"/>
      <c r="C3" s="663"/>
      <c r="D3" s="663"/>
      <c r="E3" s="663"/>
      <c r="F3" s="663"/>
      <c r="G3" s="663"/>
      <c r="H3" s="663"/>
    </row>
    <row r="4" spans="1:8" ht="23.25">
      <c r="A4" s="663" t="str">
        <f>งบทดลอง1!A3</f>
        <v>ณ  วันที่   30  มิถุนายน  2556</v>
      </c>
      <c r="B4" s="663"/>
      <c r="C4" s="663"/>
      <c r="D4" s="663"/>
      <c r="E4" s="663"/>
      <c r="F4" s="663"/>
      <c r="G4" s="663"/>
      <c r="H4" s="663"/>
    </row>
    <row r="5" spans="1:8" ht="23.25">
      <c r="A5" s="32"/>
      <c r="B5" s="32"/>
      <c r="C5" s="32"/>
      <c r="D5" s="32"/>
      <c r="E5" s="32"/>
      <c r="F5" s="32"/>
      <c r="G5" s="32"/>
      <c r="H5" s="32"/>
    </row>
    <row r="6" spans="1:8" ht="23.25">
      <c r="A6" s="14"/>
      <c r="B6" s="14" t="s">
        <v>64</v>
      </c>
      <c r="C6" s="14"/>
      <c r="D6" s="14"/>
      <c r="E6" s="14"/>
      <c r="F6" s="34">
        <v>13367993.73</v>
      </c>
      <c r="G6" s="34"/>
      <c r="H6" s="14"/>
    </row>
    <row r="7" spans="1:8" ht="23.25">
      <c r="A7" s="194" t="s">
        <v>88</v>
      </c>
      <c r="B7" s="14" t="s">
        <v>511</v>
      </c>
      <c r="C7" s="14"/>
      <c r="D7" s="14"/>
      <c r="E7" s="14"/>
      <c r="F7" s="34">
        <v>10000</v>
      </c>
      <c r="G7" s="34"/>
      <c r="H7" s="14"/>
    </row>
    <row r="8" spans="1:8" ht="23.25">
      <c r="A8" s="14"/>
      <c r="B8" s="14" t="s">
        <v>512</v>
      </c>
      <c r="C8" s="14"/>
      <c r="D8" s="14"/>
      <c r="E8" s="14"/>
      <c r="F8" s="34">
        <v>13000</v>
      </c>
      <c r="G8" s="34"/>
      <c r="H8" s="14"/>
    </row>
    <row r="9" spans="1:8" ht="23.25">
      <c r="A9" s="14"/>
      <c r="B9" s="14" t="s">
        <v>515</v>
      </c>
      <c r="C9" s="14"/>
      <c r="D9" s="14"/>
      <c r="E9" s="14"/>
      <c r="F9" s="34">
        <v>4426</v>
      </c>
      <c r="G9" s="34"/>
      <c r="H9" s="14"/>
    </row>
    <row r="10" spans="1:8" ht="23.25">
      <c r="A10" s="14"/>
      <c r="B10" s="14" t="s">
        <v>513</v>
      </c>
      <c r="C10" s="14"/>
      <c r="D10" s="14"/>
      <c r="E10" s="14"/>
      <c r="F10" s="34">
        <v>113.52</v>
      </c>
      <c r="G10" s="34"/>
      <c r="H10" s="14"/>
    </row>
    <row r="11" spans="1:8" ht="23.25">
      <c r="A11" s="14"/>
      <c r="B11" s="14" t="s">
        <v>516</v>
      </c>
      <c r="C11" s="14"/>
      <c r="D11" s="14"/>
      <c r="E11" s="14"/>
      <c r="F11" s="34">
        <v>260</v>
      </c>
      <c r="G11" s="34"/>
      <c r="H11" s="14"/>
    </row>
    <row r="12" spans="1:8" ht="25.5">
      <c r="A12" s="14"/>
      <c r="B12" s="14" t="s">
        <v>514</v>
      </c>
      <c r="C12" s="14"/>
      <c r="D12" s="14"/>
      <c r="E12" s="14"/>
      <c r="F12" s="519">
        <v>645.54</v>
      </c>
      <c r="G12" s="34">
        <f>+F6+F7+F8+F9+F10+F11+F12</f>
        <v>13396438.79</v>
      </c>
      <c r="H12" s="14"/>
    </row>
    <row r="13" spans="1:8" ht="21" customHeight="1">
      <c r="A13" s="14"/>
      <c r="B13" s="14"/>
      <c r="C13" s="14"/>
      <c r="D13" s="14"/>
      <c r="E13" s="14"/>
      <c r="F13" s="34"/>
      <c r="G13" s="34"/>
      <c r="H13" s="14"/>
    </row>
    <row r="14" spans="1:8" ht="12.75" customHeight="1">
      <c r="A14" s="194"/>
      <c r="B14" s="14"/>
      <c r="C14" s="14"/>
      <c r="D14" s="14"/>
      <c r="E14" s="14"/>
      <c r="F14" s="34"/>
      <c r="G14" s="195"/>
      <c r="H14" s="14"/>
    </row>
    <row r="15" spans="1:8" ht="24" thickBot="1">
      <c r="A15" s="14"/>
      <c r="B15" s="14"/>
      <c r="D15" s="32" t="s">
        <v>87</v>
      </c>
      <c r="E15" s="14"/>
      <c r="F15" s="195"/>
      <c r="G15" s="51">
        <f>G12-G14</f>
        <v>13396438.79</v>
      </c>
      <c r="H15" s="14"/>
    </row>
    <row r="16" spans="1:8" ht="24" thickTop="1">
      <c r="A16" s="14"/>
      <c r="B16" s="14"/>
      <c r="D16" s="32"/>
      <c r="E16" s="14"/>
      <c r="F16" s="195"/>
      <c r="G16" s="48"/>
      <c r="H16" s="14"/>
    </row>
    <row r="17" spans="1:8" ht="23.25">
      <c r="A17" s="14"/>
      <c r="B17" s="14"/>
      <c r="D17" s="32"/>
      <c r="E17" s="14"/>
      <c r="F17" s="195"/>
      <c r="G17" s="48"/>
      <c r="H17" s="14"/>
    </row>
    <row r="18" spans="1:8" ht="23.25">
      <c r="A18" s="14"/>
      <c r="B18" s="14"/>
      <c r="D18" s="32"/>
      <c r="E18" s="14"/>
      <c r="F18" s="195"/>
      <c r="G18" s="48"/>
      <c r="H18" s="14"/>
    </row>
    <row r="19" spans="1:8" ht="23.25">
      <c r="A19" s="14"/>
      <c r="B19" s="14"/>
      <c r="D19" s="32"/>
      <c r="E19" s="14"/>
      <c r="F19" s="195"/>
      <c r="G19" s="48"/>
      <c r="H19" s="14"/>
    </row>
    <row r="20" spans="1:8" ht="23.25">
      <c r="A20" s="664"/>
      <c r="B20" s="664"/>
      <c r="C20" s="664"/>
      <c r="D20" s="664"/>
      <c r="E20" s="664"/>
      <c r="F20" s="664"/>
      <c r="G20" s="664"/>
      <c r="H20" s="14"/>
    </row>
    <row r="21" spans="1:8" ht="23.25">
      <c r="A21" s="663"/>
      <c r="B21" s="663"/>
      <c r="C21" s="663"/>
      <c r="D21" s="663"/>
      <c r="E21" s="663"/>
      <c r="F21" s="663"/>
      <c r="G21" s="663"/>
      <c r="H21" s="14"/>
    </row>
    <row r="22" spans="1:8" ht="23.25">
      <c r="A22" s="663"/>
      <c r="B22" s="663"/>
      <c r="C22" s="663"/>
      <c r="D22" s="663"/>
      <c r="E22" s="663"/>
      <c r="F22" s="663"/>
      <c r="G22" s="663"/>
      <c r="H22" s="14"/>
    </row>
    <row r="23" spans="1:8" ht="31.5" customHeight="1">
      <c r="A23" s="14"/>
      <c r="B23" s="14"/>
      <c r="C23" s="14"/>
      <c r="D23" s="14"/>
      <c r="E23" s="14"/>
      <c r="F23" s="14"/>
      <c r="G23" s="14"/>
      <c r="H23" s="195"/>
    </row>
    <row r="24" spans="1:8" ht="23.25">
      <c r="A24" s="14"/>
      <c r="B24" s="14"/>
      <c r="C24" s="664"/>
      <c r="D24" s="664"/>
      <c r="E24" s="664"/>
      <c r="F24" s="664"/>
      <c r="G24" s="196"/>
      <c r="H24" s="14"/>
    </row>
    <row r="25" spans="1:8" ht="23.25">
      <c r="A25" s="14"/>
      <c r="B25" s="14"/>
      <c r="D25" s="663"/>
      <c r="E25" s="663"/>
      <c r="F25" s="32"/>
      <c r="G25" s="14"/>
      <c r="H25" s="14"/>
    </row>
    <row r="26" spans="1:8" ht="23.25">
      <c r="A26" s="14"/>
      <c r="B26" s="14"/>
      <c r="C26" s="14"/>
      <c r="D26" s="14"/>
      <c r="F26" s="14"/>
      <c r="G26" s="14"/>
      <c r="H26" s="14"/>
    </row>
    <row r="27" spans="1:8" ht="23.25">
      <c r="A27" s="14"/>
      <c r="B27" s="14"/>
      <c r="C27" s="14"/>
      <c r="D27" s="14"/>
      <c r="E27" s="14"/>
      <c r="F27" s="14"/>
      <c r="G27" s="14"/>
      <c r="H27" s="14"/>
    </row>
    <row r="28" ht="21.75"/>
    <row r="29" ht="21.75"/>
    <row r="30" spans="1:7" ht="23.25">
      <c r="A30" s="664"/>
      <c r="B30" s="664"/>
      <c r="C30" s="664"/>
      <c r="D30" s="664"/>
      <c r="E30" s="664"/>
      <c r="F30" s="664"/>
      <c r="G30" s="664"/>
    </row>
    <row r="31" spans="1:7" ht="23.25">
      <c r="A31" s="663"/>
      <c r="B31" s="663"/>
      <c r="C31" s="663"/>
      <c r="D31" s="663"/>
      <c r="E31" s="663"/>
      <c r="F31" s="663"/>
      <c r="G31" s="663"/>
    </row>
    <row r="32" spans="1:7" ht="23.25">
      <c r="A32" s="663"/>
      <c r="B32" s="663"/>
      <c r="C32" s="663"/>
      <c r="D32" s="663"/>
      <c r="E32" s="663"/>
      <c r="F32" s="663"/>
      <c r="G32" s="663"/>
    </row>
    <row r="33" spans="1:7" ht="23.25">
      <c r="A33" s="14"/>
      <c r="B33" s="14"/>
      <c r="C33" s="14"/>
      <c r="D33" s="14"/>
      <c r="E33" s="14"/>
      <c r="F33" s="14"/>
      <c r="G33" s="14"/>
    </row>
    <row r="34" spans="1:7" ht="23.25">
      <c r="A34" s="14"/>
      <c r="B34" s="14"/>
      <c r="C34" s="664"/>
      <c r="D34" s="664"/>
      <c r="E34" s="664"/>
      <c r="F34" s="664"/>
      <c r="G34" s="14"/>
    </row>
    <row r="35" spans="1:7" ht="23.25">
      <c r="A35" s="14"/>
      <c r="B35" s="14"/>
      <c r="C35" s="663"/>
      <c r="D35" s="663"/>
      <c r="E35" s="663"/>
      <c r="F35" s="663"/>
      <c r="G35" s="14"/>
    </row>
    <row r="36" spans="1:7" ht="23.25">
      <c r="A36" s="14"/>
      <c r="B36" s="14"/>
      <c r="C36" s="663"/>
      <c r="D36" s="663"/>
      <c r="E36" s="663"/>
      <c r="F36" s="663"/>
      <c r="G36" s="14"/>
    </row>
    <row r="37" ht="21.75">
      <c r="G37" s="197">
        <f>7930713.76+249-1133022.86</f>
        <v>6797939.899999999</v>
      </c>
    </row>
    <row r="40" spans="1:7" ht="23.25">
      <c r="A40" s="664"/>
      <c r="B40" s="664"/>
      <c r="C40" s="664"/>
      <c r="D40" s="664"/>
      <c r="E40" s="664"/>
      <c r="F40" s="664"/>
      <c r="G40" s="664"/>
    </row>
    <row r="41" spans="1:7" ht="23.25">
      <c r="A41" s="663"/>
      <c r="B41" s="663"/>
      <c r="C41" s="663"/>
      <c r="D41" s="663"/>
      <c r="E41" s="663"/>
      <c r="F41" s="663"/>
      <c r="G41" s="663"/>
    </row>
    <row r="42" spans="1:7" ht="23.25">
      <c r="A42" s="663"/>
      <c r="B42" s="663"/>
      <c r="C42" s="663"/>
      <c r="D42" s="663"/>
      <c r="E42" s="663"/>
      <c r="F42" s="663"/>
      <c r="G42" s="663"/>
    </row>
    <row r="43" spans="1:7" ht="23.25">
      <c r="A43" s="14"/>
      <c r="B43" s="14"/>
      <c r="C43" s="14"/>
      <c r="D43" s="14"/>
      <c r="E43" s="14"/>
      <c r="F43" s="14"/>
      <c r="G43" s="14"/>
    </row>
    <row r="44" spans="1:7" ht="23.25">
      <c r="A44" s="14"/>
      <c r="B44" s="14"/>
      <c r="C44" s="664"/>
      <c r="D44" s="664"/>
      <c r="E44" s="664"/>
      <c r="F44" s="664"/>
      <c r="G44" s="14"/>
    </row>
    <row r="45" spans="1:7" ht="23.25">
      <c r="A45" s="14"/>
      <c r="B45" s="14"/>
      <c r="C45" s="663"/>
      <c r="D45" s="663"/>
      <c r="E45" s="663"/>
      <c r="F45" s="663"/>
      <c r="G45" s="14"/>
    </row>
    <row r="46" spans="1:7" ht="23.25">
      <c r="A46" s="14"/>
      <c r="B46" s="14"/>
      <c r="C46" s="663"/>
      <c r="D46" s="663"/>
      <c r="E46" s="663"/>
      <c r="F46" s="663"/>
      <c r="G46" s="14"/>
    </row>
  </sheetData>
  <sheetProtection/>
  <mergeCells count="30">
    <mergeCell ref="C36:F36"/>
    <mergeCell ref="A32:D32"/>
    <mergeCell ref="E32:G32"/>
    <mergeCell ref="C34:F34"/>
    <mergeCell ref="C35:F35"/>
    <mergeCell ref="A30:D30"/>
    <mergeCell ref="G1:H1"/>
    <mergeCell ref="A2:H2"/>
    <mergeCell ref="A3:H3"/>
    <mergeCell ref="A4:H4"/>
    <mergeCell ref="E21:G21"/>
    <mergeCell ref="A22:D22"/>
    <mergeCell ref="E22:G22"/>
    <mergeCell ref="A40:D40"/>
    <mergeCell ref="E40:G40"/>
    <mergeCell ref="D25:E25"/>
    <mergeCell ref="A20:D20"/>
    <mergeCell ref="E20:G20"/>
    <mergeCell ref="A21:D21"/>
    <mergeCell ref="E30:G30"/>
    <mergeCell ref="A31:D31"/>
    <mergeCell ref="E31:G31"/>
    <mergeCell ref="C24:F24"/>
    <mergeCell ref="A41:D41"/>
    <mergeCell ref="E41:G41"/>
    <mergeCell ref="C46:F46"/>
    <mergeCell ref="A42:D42"/>
    <mergeCell ref="E42:G42"/>
    <mergeCell ref="C44:F44"/>
    <mergeCell ref="C45:F45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7B717"/>
  </sheetPr>
  <dimension ref="A1:J49"/>
  <sheetViews>
    <sheetView zoomScalePageLayoutView="0" workbookViewId="0" topLeftCell="A1">
      <selection activeCell="A2" sqref="A2:G2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12.28125" style="13" customWidth="1"/>
    <col min="4" max="4" width="33.00390625" style="13" customWidth="1"/>
    <col min="5" max="5" width="13.8515625" style="13" customWidth="1"/>
    <col min="6" max="6" width="14.28125" style="13" customWidth="1"/>
    <col min="7" max="7" width="9.28125" style="13" bestFit="1" customWidth="1"/>
    <col min="8" max="9" width="12.421875" style="13" bestFit="1" customWidth="1"/>
    <col min="10" max="16384" width="9.140625" style="13" customWidth="1"/>
  </cols>
  <sheetData>
    <row r="1" spans="1:7" ht="23.25">
      <c r="A1" s="14"/>
      <c r="B1" s="14"/>
      <c r="C1" s="14"/>
      <c r="D1" s="14"/>
      <c r="E1" s="14"/>
      <c r="F1" s="664" t="s">
        <v>471</v>
      </c>
      <c r="G1" s="664"/>
    </row>
    <row r="2" spans="1:7" ht="23.25">
      <c r="A2" s="663" t="str">
        <f>'[1]งบทดลอง1'!A1</f>
        <v>เทศบาลตำบลท่าสาย</v>
      </c>
      <c r="B2" s="663"/>
      <c r="C2" s="663"/>
      <c r="D2" s="663"/>
      <c r="E2" s="663"/>
      <c r="F2" s="663"/>
      <c r="G2" s="663"/>
    </row>
    <row r="3" spans="1:7" ht="23.25">
      <c r="A3" s="663" t="s">
        <v>738</v>
      </c>
      <c r="B3" s="663"/>
      <c r="C3" s="663"/>
      <c r="D3" s="663"/>
      <c r="E3" s="663"/>
      <c r="F3" s="663"/>
      <c r="G3" s="663"/>
    </row>
    <row r="4" spans="1:7" ht="23.25">
      <c r="A4" s="663" t="str">
        <f>รายละเอียดเงินสะสม!A4</f>
        <v>ณ  วันที่   30  มิถุนายน  2556</v>
      </c>
      <c r="B4" s="663"/>
      <c r="C4" s="663"/>
      <c r="D4" s="663"/>
      <c r="E4" s="663"/>
      <c r="F4" s="663"/>
      <c r="G4" s="663"/>
    </row>
    <row r="5" spans="1:7" ht="23.25">
      <c r="A5" s="32"/>
      <c r="B5" s="32"/>
      <c r="C5" s="32"/>
      <c r="D5" s="32"/>
      <c r="E5" s="32"/>
      <c r="F5" s="32"/>
      <c r="G5" s="32"/>
    </row>
    <row r="6" spans="1:7" ht="23.25">
      <c r="A6" s="522"/>
      <c r="B6" s="522" t="s">
        <v>528</v>
      </c>
      <c r="C6" s="32"/>
      <c r="D6" s="32"/>
      <c r="E6" s="526">
        <f>10344+219240+220050+219240</f>
        <v>668874</v>
      </c>
      <c r="F6" s="32"/>
      <c r="G6" s="32"/>
    </row>
    <row r="7" spans="1:7" ht="23.25">
      <c r="A7" s="522"/>
      <c r="B7" s="522" t="s">
        <v>606</v>
      </c>
      <c r="C7" s="32"/>
      <c r="D7" s="32"/>
      <c r="E7" s="526">
        <f>25737.2+242.8</f>
        <v>25980</v>
      </c>
      <c r="F7" s="32"/>
      <c r="G7" s="32"/>
    </row>
    <row r="8" spans="1:7" ht="23.25">
      <c r="A8" s="522"/>
      <c r="B8" s="522" t="s">
        <v>542</v>
      </c>
      <c r="C8" s="32"/>
      <c r="D8" s="32"/>
      <c r="E8" s="526">
        <f>2098205.61+2098205.61+1412000</f>
        <v>5608411.22</v>
      </c>
      <c r="F8" s="32"/>
      <c r="G8" s="32"/>
    </row>
    <row r="9" spans="1:7" ht="23.25">
      <c r="A9" s="32"/>
      <c r="B9" s="522" t="s">
        <v>529</v>
      </c>
      <c r="C9" s="32"/>
      <c r="D9" s="32"/>
      <c r="E9" s="526">
        <f>41280+9208.28+15000+5000+18416.56+41280+18416.56+9208.28+9208.28+42090+9208.28</f>
        <v>218316.24</v>
      </c>
      <c r="F9" s="32"/>
      <c r="G9" s="32"/>
    </row>
    <row r="10" spans="1:7" ht="23.25">
      <c r="A10" s="32"/>
      <c r="B10" s="14" t="s">
        <v>525</v>
      </c>
      <c r="C10" s="32"/>
      <c r="D10" s="32"/>
      <c r="E10" s="526">
        <f>480000+477000</f>
        <v>957000</v>
      </c>
      <c r="F10" s="32"/>
      <c r="G10" s="32"/>
    </row>
    <row r="11" spans="1:9" ht="23.25">
      <c r="A11" s="32"/>
      <c r="B11" s="14" t="s">
        <v>449</v>
      </c>
      <c r="C11" s="32"/>
      <c r="D11" s="32"/>
      <c r="E11" s="527">
        <f>3844200+3760800</f>
        <v>7605000</v>
      </c>
      <c r="F11" s="528">
        <f>SUM(E6:E11)</f>
        <v>15083581.46</v>
      </c>
      <c r="G11" s="32"/>
      <c r="I11" s="91"/>
    </row>
    <row r="12" spans="1:9" ht="57" customHeight="1">
      <c r="A12" s="194" t="s">
        <v>111</v>
      </c>
      <c r="B12" s="14" t="s">
        <v>526</v>
      </c>
      <c r="C12" s="14"/>
      <c r="D12" s="14"/>
      <c r="E12" s="34">
        <f>1275800+636000+16600+634500+4500+629000-2400+13400+626800+10000-2000+1000+621300+620700+616800+1000</f>
        <v>5703000</v>
      </c>
      <c r="F12" s="195"/>
      <c r="G12" s="14"/>
      <c r="H12" s="91"/>
      <c r="I12" s="91"/>
    </row>
    <row r="13" spans="1:7" ht="24" customHeight="1">
      <c r="A13" s="194"/>
      <c r="B13" s="14" t="s">
        <v>527</v>
      </c>
      <c r="C13" s="14"/>
      <c r="D13" s="14"/>
      <c r="E13" s="34">
        <f>160000+80000+80000+79500+1000+79500+79000+79000+78500</f>
        <v>716500</v>
      </c>
      <c r="F13" s="195"/>
      <c r="G13" s="14"/>
    </row>
    <row r="14" spans="1:7" ht="24" customHeight="1">
      <c r="A14" s="194"/>
      <c r="B14" s="522" t="s">
        <v>732</v>
      </c>
      <c r="C14" s="14"/>
      <c r="D14" s="14"/>
      <c r="E14" s="34">
        <f>25737.2+242.8</f>
        <v>25980</v>
      </c>
      <c r="F14" s="195"/>
      <c r="G14" s="14"/>
    </row>
    <row r="15" spans="1:7" ht="24" customHeight="1">
      <c r="A15" s="194"/>
      <c r="B15" s="522" t="s">
        <v>570</v>
      </c>
      <c r="C15" s="14"/>
      <c r="D15" s="14"/>
      <c r="E15" s="34">
        <f>4196411.22+1412000</f>
        <v>5608411.22</v>
      </c>
      <c r="F15" s="195"/>
      <c r="G15" s="14"/>
    </row>
    <row r="16" spans="1:7" ht="24" customHeight="1">
      <c r="A16" s="194"/>
      <c r="B16" s="522" t="s">
        <v>528</v>
      </c>
      <c r="C16" s="14"/>
      <c r="D16" s="14"/>
      <c r="E16" s="34">
        <f>146160+73080+73080+73350+72000-558+1080+72000+146160</f>
        <v>656352</v>
      </c>
      <c r="F16" s="195"/>
      <c r="G16" s="14"/>
    </row>
    <row r="17" spans="1:10" ht="24" customHeight="1">
      <c r="A17" s="194"/>
      <c r="B17" s="522" t="s">
        <v>529</v>
      </c>
      <c r="C17" s="14"/>
      <c r="D17" s="14"/>
      <c r="E17" s="527">
        <f>14210+9208.28+13310+28760+5000+18416.56+9208.28+22968.28+13760+13760+9208.28+14300+13760+9208.28+14030+9208.28</f>
        <v>218316.24</v>
      </c>
      <c r="F17" s="48">
        <f>SUM(E12:E17)</f>
        <v>12928559.459999999</v>
      </c>
      <c r="G17" s="14"/>
      <c r="H17" s="91"/>
      <c r="J17" s="91"/>
    </row>
    <row r="18" spans="1:7" ht="33.75" customHeight="1" thickBot="1">
      <c r="A18" s="14"/>
      <c r="B18" s="14"/>
      <c r="C18" s="32" t="s">
        <v>87</v>
      </c>
      <c r="D18" s="14"/>
      <c r="E18" s="195"/>
      <c r="F18" s="529">
        <f>+F11-F17</f>
        <v>2155022.000000002</v>
      </c>
      <c r="G18" s="14"/>
    </row>
    <row r="19" spans="1:7" ht="24" thickTop="1">
      <c r="A19" s="14"/>
      <c r="B19" s="14"/>
      <c r="C19" s="32"/>
      <c r="D19" s="14"/>
      <c r="E19" s="195"/>
      <c r="F19" s="48"/>
      <c r="G19" s="14"/>
    </row>
    <row r="20" spans="1:7" ht="23.25">
      <c r="A20" s="14"/>
      <c r="B20" s="14"/>
      <c r="C20" s="32"/>
      <c r="D20" s="14"/>
      <c r="E20" s="195"/>
      <c r="F20" s="48"/>
      <c r="G20" s="14"/>
    </row>
    <row r="21" spans="1:7" ht="23.25">
      <c r="A21" s="14"/>
      <c r="B21" s="14"/>
      <c r="C21" s="32"/>
      <c r="D21" s="14"/>
      <c r="E21" s="195"/>
      <c r="F21" s="48"/>
      <c r="G21" s="14"/>
    </row>
    <row r="22" spans="1:7" ht="23.25">
      <c r="A22" s="14"/>
      <c r="B22" s="14"/>
      <c r="C22" s="32"/>
      <c r="D22" s="14"/>
      <c r="E22" s="195"/>
      <c r="F22" s="48"/>
      <c r="G22" s="14"/>
    </row>
    <row r="23" spans="1:7" ht="23.25">
      <c r="A23" s="664"/>
      <c r="B23" s="664"/>
      <c r="C23" s="664"/>
      <c r="D23" s="664"/>
      <c r="E23" s="664"/>
      <c r="F23" s="664"/>
      <c r="G23" s="14"/>
    </row>
    <row r="24" spans="1:7" ht="23.25">
      <c r="A24" s="663"/>
      <c r="B24" s="663"/>
      <c r="C24" s="663"/>
      <c r="D24" s="663"/>
      <c r="E24" s="663"/>
      <c r="F24" s="663"/>
      <c r="G24" s="14"/>
    </row>
    <row r="25" spans="1:7" ht="23.25">
      <c r="A25" s="663"/>
      <c r="B25" s="663"/>
      <c r="C25" s="663"/>
      <c r="D25" s="663"/>
      <c r="E25" s="663"/>
      <c r="F25" s="663"/>
      <c r="G25" s="14"/>
    </row>
    <row r="26" spans="1:7" ht="31.5" customHeight="1">
      <c r="A26" s="14"/>
      <c r="B26" s="14"/>
      <c r="C26" s="14"/>
      <c r="D26" s="14"/>
      <c r="E26" s="14"/>
      <c r="F26" s="14"/>
      <c r="G26" s="195"/>
    </row>
    <row r="27" spans="1:7" ht="23.25">
      <c r="A27" s="14"/>
      <c r="B27" s="14"/>
      <c r="C27" s="664"/>
      <c r="D27" s="664"/>
      <c r="E27" s="664"/>
      <c r="F27" s="196"/>
      <c r="G27" s="14"/>
    </row>
    <row r="28" spans="1:7" ht="23.25">
      <c r="A28" s="14"/>
      <c r="B28" s="14"/>
      <c r="C28" s="663"/>
      <c r="D28" s="663"/>
      <c r="E28" s="32"/>
      <c r="F28" s="14"/>
      <c r="G28" s="14"/>
    </row>
    <row r="29" spans="1:7" ht="23.25">
      <c r="A29" s="14"/>
      <c r="B29" s="14"/>
      <c r="C29" s="14"/>
      <c r="E29" s="14"/>
      <c r="F29" s="14"/>
      <c r="G29" s="14"/>
    </row>
    <row r="30" spans="1:7" ht="23.25">
      <c r="A30" s="14"/>
      <c r="B30" s="14"/>
      <c r="C30" s="14"/>
      <c r="D30" s="14"/>
      <c r="E30" s="14"/>
      <c r="F30" s="14"/>
      <c r="G30" s="14"/>
    </row>
    <row r="33" spans="1:6" ht="23.25">
      <c r="A33" s="664"/>
      <c r="B33" s="664"/>
      <c r="C33" s="664"/>
      <c r="D33" s="664"/>
      <c r="E33" s="664"/>
      <c r="F33" s="664"/>
    </row>
    <row r="34" spans="1:6" ht="23.25">
      <c r="A34" s="663"/>
      <c r="B34" s="663"/>
      <c r="C34" s="663"/>
      <c r="D34" s="663"/>
      <c r="E34" s="663"/>
      <c r="F34" s="663"/>
    </row>
    <row r="35" spans="1:6" ht="23.25">
      <c r="A35" s="663"/>
      <c r="B35" s="663"/>
      <c r="C35" s="663"/>
      <c r="D35" s="663"/>
      <c r="E35" s="663"/>
      <c r="F35" s="663"/>
    </row>
    <row r="36" spans="1:6" ht="23.25">
      <c r="A36" s="14"/>
      <c r="B36" s="14"/>
      <c r="C36" s="14"/>
      <c r="D36" s="14"/>
      <c r="E36" s="14"/>
      <c r="F36" s="14"/>
    </row>
    <row r="37" spans="1:6" ht="23.25">
      <c r="A37" s="14"/>
      <c r="B37" s="14"/>
      <c r="C37" s="664"/>
      <c r="D37" s="664"/>
      <c r="E37" s="664"/>
      <c r="F37" s="14"/>
    </row>
    <row r="38" spans="1:6" ht="23.25">
      <c r="A38" s="14"/>
      <c r="B38" s="14"/>
      <c r="C38" s="663"/>
      <c r="D38" s="663"/>
      <c r="E38" s="663"/>
      <c r="F38" s="14"/>
    </row>
    <row r="39" spans="1:6" ht="23.25">
      <c r="A39" s="14"/>
      <c r="B39" s="14"/>
      <c r="C39" s="663"/>
      <c r="D39" s="663"/>
      <c r="E39" s="663"/>
      <c r="F39" s="14"/>
    </row>
    <row r="40" ht="21.75">
      <c r="F40" s="197">
        <f>7930713.76+249-1133022.86</f>
        <v>6797939.899999999</v>
      </c>
    </row>
    <row r="43" spans="1:6" ht="23.25">
      <c r="A43" s="664"/>
      <c r="B43" s="664"/>
      <c r="C43" s="664"/>
      <c r="D43" s="664"/>
      <c r="E43" s="664"/>
      <c r="F43" s="664"/>
    </row>
    <row r="44" spans="1:6" ht="23.25">
      <c r="A44" s="663"/>
      <c r="B44" s="663"/>
      <c r="C44" s="663"/>
      <c r="D44" s="663"/>
      <c r="E44" s="663"/>
      <c r="F44" s="663"/>
    </row>
    <row r="45" spans="1:6" ht="23.25">
      <c r="A45" s="663"/>
      <c r="B45" s="663"/>
      <c r="C45" s="663"/>
      <c r="D45" s="663"/>
      <c r="E45" s="663"/>
      <c r="F45" s="663"/>
    </row>
    <row r="46" spans="1:6" ht="23.25">
      <c r="A46" s="14"/>
      <c r="B46" s="14"/>
      <c r="C46" s="14"/>
      <c r="D46" s="14"/>
      <c r="E46" s="14"/>
      <c r="F46" s="14"/>
    </row>
    <row r="47" spans="1:6" ht="23.25">
      <c r="A47" s="14"/>
      <c r="B47" s="14"/>
      <c r="C47" s="664"/>
      <c r="D47" s="664"/>
      <c r="E47" s="664"/>
      <c r="F47" s="14"/>
    </row>
    <row r="48" spans="1:6" ht="23.25">
      <c r="A48" s="14"/>
      <c r="B48" s="14"/>
      <c r="C48" s="663"/>
      <c r="D48" s="663"/>
      <c r="E48" s="663"/>
      <c r="F48" s="14"/>
    </row>
    <row r="49" spans="1:6" ht="23.25">
      <c r="A49" s="14"/>
      <c r="B49" s="14"/>
      <c r="C49" s="663"/>
      <c r="D49" s="663"/>
      <c r="E49" s="663"/>
      <c r="F49" s="14"/>
    </row>
  </sheetData>
  <sheetProtection/>
  <mergeCells count="30">
    <mergeCell ref="A45:C45"/>
    <mergeCell ref="D45:F45"/>
    <mergeCell ref="C47:E47"/>
    <mergeCell ref="C48:E48"/>
    <mergeCell ref="C49:E49"/>
    <mergeCell ref="C37:E37"/>
    <mergeCell ref="C38:E38"/>
    <mergeCell ref="C39:E39"/>
    <mergeCell ref="A43:C43"/>
    <mergeCell ref="D43:F43"/>
    <mergeCell ref="A44:C44"/>
    <mergeCell ref="D44:F44"/>
    <mergeCell ref="A33:C33"/>
    <mergeCell ref="D33:F33"/>
    <mergeCell ref="A34:C34"/>
    <mergeCell ref="D34:F34"/>
    <mergeCell ref="A35:C35"/>
    <mergeCell ref="D35:F35"/>
    <mergeCell ref="A24:C24"/>
    <mergeCell ref="D24:F24"/>
    <mergeCell ref="A25:C25"/>
    <mergeCell ref="D25:F25"/>
    <mergeCell ref="C27:E27"/>
    <mergeCell ref="C28:D28"/>
    <mergeCell ref="F1:G1"/>
    <mergeCell ref="A2:G2"/>
    <mergeCell ref="A3:G3"/>
    <mergeCell ref="A4:G4"/>
    <mergeCell ref="A23:C23"/>
    <mergeCell ref="D23:F23"/>
  </mergeCells>
  <printOptions/>
  <pageMargins left="0.7" right="0.36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K53"/>
  <sheetViews>
    <sheetView zoomScaleSheetLayoutView="100" zoomScalePageLayoutView="0" workbookViewId="0" topLeftCell="A19">
      <selection activeCell="E7" sqref="E7"/>
    </sheetView>
  </sheetViews>
  <sheetFormatPr defaultColWidth="9.140625" defaultRowHeight="21.75"/>
  <cols>
    <col min="1" max="1" width="1.8515625" style="32" customWidth="1"/>
    <col min="2" max="2" width="2.57421875" style="32" customWidth="1"/>
    <col min="3" max="3" width="47.2812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9" width="10.28125" style="14" bestFit="1" customWidth="1"/>
    <col min="10" max="10" width="9.28125" style="14" bestFit="1" customWidth="1"/>
    <col min="11" max="11" width="12.7109375" style="14" bestFit="1" customWidth="1"/>
    <col min="12" max="16384" width="9.140625" style="14" customWidth="1"/>
  </cols>
  <sheetData>
    <row r="1" spans="1:10" ht="23.25">
      <c r="A1" s="667" t="str">
        <f>งบทดลอง1!A1</f>
        <v>เทศบาลตำบลท่าสาย</v>
      </c>
      <c r="B1" s="667"/>
      <c r="C1" s="667"/>
      <c r="D1" s="667"/>
      <c r="E1" s="667"/>
      <c r="F1" s="667"/>
      <c r="G1" s="667"/>
      <c r="H1" s="33"/>
      <c r="I1" s="33"/>
      <c r="J1" s="33"/>
    </row>
    <row r="2" spans="1:10" ht="23.25">
      <c r="A2" s="663" t="s">
        <v>50</v>
      </c>
      <c r="B2" s="663"/>
      <c r="C2" s="663"/>
      <c r="D2" s="663"/>
      <c r="E2" s="663"/>
      <c r="F2" s="663"/>
      <c r="G2" s="663"/>
      <c r="H2" s="33"/>
      <c r="I2" s="33"/>
      <c r="J2" s="33"/>
    </row>
    <row r="3" spans="1:10" ht="23.25">
      <c r="A3" s="663" t="str">
        <f>งบทดลอง1!$A$3</f>
        <v>ณ  วันที่   30  มิถุนายน  2556</v>
      </c>
      <c r="B3" s="663"/>
      <c r="C3" s="663"/>
      <c r="D3" s="663"/>
      <c r="E3" s="663"/>
      <c r="F3" s="663"/>
      <c r="G3" s="663"/>
      <c r="H3" s="33"/>
      <c r="I3" s="33"/>
      <c r="J3" s="33"/>
    </row>
    <row r="4" spans="3:10" ht="23.25">
      <c r="C4" s="32"/>
      <c r="D4" s="32"/>
      <c r="E4" s="32"/>
      <c r="F4" s="32"/>
      <c r="G4" s="32"/>
      <c r="H4" s="32"/>
      <c r="I4" s="32"/>
      <c r="J4" s="32"/>
    </row>
    <row r="5" spans="1:9" ht="23.25">
      <c r="A5" s="117"/>
      <c r="B5" s="665" t="s">
        <v>36</v>
      </c>
      <c r="C5" s="666"/>
      <c r="D5" s="35" t="s">
        <v>64</v>
      </c>
      <c r="E5" s="35" t="s">
        <v>88</v>
      </c>
      <c r="F5" s="35" t="s">
        <v>89</v>
      </c>
      <c r="G5" s="35" t="s">
        <v>87</v>
      </c>
      <c r="I5" s="195"/>
    </row>
    <row r="6" spans="1:7" ht="23.25">
      <c r="A6" s="117"/>
      <c r="B6" s="45"/>
      <c r="C6" s="118" t="s">
        <v>329</v>
      </c>
      <c r="D6" s="36">
        <v>10017.86</v>
      </c>
      <c r="E6" s="36">
        <f>32743.3-242.8</f>
        <v>32500.5</v>
      </c>
      <c r="F6" s="36">
        <v>8256.16</v>
      </c>
      <c r="G6" s="36">
        <f>D6+E6-F6</f>
        <v>34262.2</v>
      </c>
    </row>
    <row r="7" spans="1:7" ht="23.25">
      <c r="A7" s="117"/>
      <c r="B7" s="45"/>
      <c r="C7" s="118" t="s">
        <v>106</v>
      </c>
      <c r="D7" s="36">
        <v>8664.5</v>
      </c>
      <c r="E7" s="36">
        <v>264.35</v>
      </c>
      <c r="F7" s="36"/>
      <c r="G7" s="36">
        <f aca="true" t="shared" si="0" ref="G7:G14">D7+E7-F7</f>
        <v>8928.85</v>
      </c>
    </row>
    <row r="8" spans="1:7" ht="23.25">
      <c r="A8" s="117"/>
      <c r="B8" s="45"/>
      <c r="C8" s="118" t="s">
        <v>107</v>
      </c>
      <c r="D8" s="36">
        <v>139468.77</v>
      </c>
      <c r="E8" s="36">
        <v>189603</v>
      </c>
      <c r="F8" s="36"/>
      <c r="G8" s="36">
        <f t="shared" si="0"/>
        <v>329071.77</v>
      </c>
    </row>
    <row r="9" spans="1:7" ht="23.25">
      <c r="A9" s="117"/>
      <c r="B9" s="45"/>
      <c r="C9" s="118" t="s">
        <v>108</v>
      </c>
      <c r="D9" s="36">
        <v>109150</v>
      </c>
      <c r="E9" s="36"/>
      <c r="F9" s="36"/>
      <c r="G9" s="36">
        <f t="shared" si="0"/>
        <v>109150</v>
      </c>
    </row>
    <row r="10" spans="1:11" ht="23.25">
      <c r="A10" s="117"/>
      <c r="B10" s="45"/>
      <c r="C10" s="118" t="s">
        <v>115</v>
      </c>
      <c r="D10" s="36">
        <v>1873</v>
      </c>
      <c r="E10" s="36"/>
      <c r="F10" s="36"/>
      <c r="G10" s="36">
        <f t="shared" si="0"/>
        <v>1873</v>
      </c>
      <c r="I10" s="34"/>
      <c r="J10" s="34"/>
      <c r="K10" s="34"/>
    </row>
    <row r="11" spans="1:11" ht="23.25">
      <c r="A11" s="117"/>
      <c r="B11" s="45"/>
      <c r="C11" s="118" t="s">
        <v>503</v>
      </c>
      <c r="D11" s="36">
        <v>104</v>
      </c>
      <c r="E11" s="36"/>
      <c r="F11" s="36"/>
      <c r="G11" s="36">
        <f t="shared" si="0"/>
        <v>104</v>
      </c>
      <c r="I11" s="34"/>
      <c r="J11" s="34"/>
      <c r="K11" s="34"/>
    </row>
    <row r="12" spans="1:11" ht="23.25">
      <c r="A12" s="117"/>
      <c r="B12" s="45"/>
      <c r="C12" s="118" t="s">
        <v>504</v>
      </c>
      <c r="D12" s="36">
        <v>1200</v>
      </c>
      <c r="E12" s="36"/>
      <c r="F12" s="36"/>
      <c r="G12" s="36">
        <f t="shared" si="0"/>
        <v>1200</v>
      </c>
      <c r="I12" s="34"/>
      <c r="J12" s="34"/>
      <c r="K12" s="34">
        <f>2841162.84+9011.94</f>
        <v>2850174.78</v>
      </c>
    </row>
    <row r="13" spans="1:7" ht="23.25">
      <c r="A13" s="117"/>
      <c r="B13" s="45"/>
      <c r="C13" s="118" t="s">
        <v>170</v>
      </c>
      <c r="D13" s="36">
        <v>2790</v>
      </c>
      <c r="E13" s="36"/>
      <c r="F13" s="36"/>
      <c r="G13" s="36">
        <f t="shared" si="0"/>
        <v>2790</v>
      </c>
    </row>
    <row r="14" spans="1:11" ht="23.25">
      <c r="A14" s="117"/>
      <c r="B14" s="45"/>
      <c r="C14" s="118" t="s">
        <v>607</v>
      </c>
      <c r="D14" s="36">
        <v>27900</v>
      </c>
      <c r="E14" s="36"/>
      <c r="F14" s="36"/>
      <c r="G14" s="36">
        <f t="shared" si="0"/>
        <v>27900</v>
      </c>
      <c r="K14" s="195">
        <f>+K12-2869794.78</f>
        <v>-19620</v>
      </c>
    </row>
    <row r="15" spans="1:7" ht="23.25">
      <c r="A15" s="117"/>
      <c r="B15" s="518"/>
      <c r="C15" s="485" t="s">
        <v>733</v>
      </c>
      <c r="D15" s="38">
        <v>521995</v>
      </c>
      <c r="E15" s="119"/>
      <c r="F15" s="38">
        <v>521000</v>
      </c>
      <c r="G15" s="38">
        <f aca="true" t="shared" si="1" ref="G15:G22">D15+E15-F15</f>
        <v>995</v>
      </c>
    </row>
    <row r="16" spans="1:7" ht="23.25">
      <c r="A16" s="117"/>
      <c r="B16" s="506"/>
      <c r="C16" s="292" t="s">
        <v>506</v>
      </c>
      <c r="D16" s="486"/>
      <c r="E16" s="489"/>
      <c r="F16" s="489"/>
      <c r="G16" s="486"/>
    </row>
    <row r="17" spans="1:7" ht="23.25">
      <c r="A17" s="117"/>
      <c r="B17" s="45"/>
      <c r="C17" s="118" t="s">
        <v>425</v>
      </c>
      <c r="D17" s="36">
        <v>16445.5</v>
      </c>
      <c r="E17" s="36">
        <v>2250</v>
      </c>
      <c r="F17" s="36">
        <v>3484.5</v>
      </c>
      <c r="G17" s="36">
        <f t="shared" si="1"/>
        <v>15211</v>
      </c>
    </row>
    <row r="18" spans="1:8" ht="23.25">
      <c r="A18" s="117"/>
      <c r="B18" s="518"/>
      <c r="C18" s="485" t="s">
        <v>369</v>
      </c>
      <c r="D18" s="38">
        <v>114018.39</v>
      </c>
      <c r="E18" s="38"/>
      <c r="F18" s="119"/>
      <c r="G18" s="38">
        <f t="shared" si="1"/>
        <v>114018.39</v>
      </c>
      <c r="H18" s="34"/>
    </row>
    <row r="19" spans="1:7" ht="23.25">
      <c r="A19" s="117"/>
      <c r="B19" s="506"/>
      <c r="C19" s="292" t="s">
        <v>507</v>
      </c>
      <c r="D19" s="488"/>
      <c r="E19" s="486"/>
      <c r="F19" s="489"/>
      <c r="G19" s="486"/>
    </row>
    <row r="20" spans="1:7" ht="23.25">
      <c r="A20" s="23"/>
      <c r="B20" s="518"/>
      <c r="C20" s="485" t="s">
        <v>505</v>
      </c>
      <c r="D20" s="38">
        <v>165002</v>
      </c>
      <c r="E20" s="517"/>
      <c r="F20" s="517"/>
      <c r="G20" s="38">
        <f t="shared" si="1"/>
        <v>165002</v>
      </c>
    </row>
    <row r="21" spans="1:10" ht="23.25">
      <c r="A21" s="23"/>
      <c r="B21" s="530"/>
      <c r="C21" s="292" t="s">
        <v>508</v>
      </c>
      <c r="D21" s="488"/>
      <c r="E21" s="487"/>
      <c r="F21" s="487"/>
      <c r="G21" s="486"/>
      <c r="H21" s="195"/>
      <c r="J21" s="195"/>
    </row>
    <row r="22" spans="1:7" ht="23.25">
      <c r="A22" s="23"/>
      <c r="B22" s="506"/>
      <c r="C22" s="292" t="s">
        <v>509</v>
      </c>
      <c r="D22" s="38">
        <v>5000</v>
      </c>
      <c r="E22" s="487"/>
      <c r="F22" s="487"/>
      <c r="G22" s="36">
        <f t="shared" si="1"/>
        <v>5000</v>
      </c>
    </row>
    <row r="23" spans="4:9" ht="24" thickBot="1">
      <c r="D23" s="490">
        <f>SUM(D6:D22)</f>
        <v>1123629.02</v>
      </c>
      <c r="E23" s="490">
        <f>SUM(E6:E22)</f>
        <v>224617.85</v>
      </c>
      <c r="F23" s="490">
        <f>SUM(F6:F22)</f>
        <v>532740.66</v>
      </c>
      <c r="G23" s="490">
        <f>SUM(G6:G22)</f>
        <v>815506.2100000001</v>
      </c>
      <c r="I23" s="195"/>
    </row>
    <row r="24" ht="24" thickTop="1"/>
    <row r="25" ht="23.25"/>
    <row r="26" ht="23.25"/>
    <row r="27" ht="23.25"/>
    <row r="28" ht="23.25"/>
    <row r="29" ht="23.25"/>
    <row r="30" ht="23.25"/>
    <row r="31" ht="23.25"/>
    <row r="46" spans="3:6" ht="23.25">
      <c r="C46" s="89" t="s">
        <v>117</v>
      </c>
      <c r="D46" s="89"/>
      <c r="E46" s="89"/>
      <c r="F46" s="89"/>
    </row>
    <row r="47" spans="3:6" ht="23.25">
      <c r="C47" s="89" t="s">
        <v>118</v>
      </c>
      <c r="D47" s="89"/>
      <c r="E47" s="89"/>
      <c r="F47" s="89"/>
    </row>
    <row r="48" spans="3:6" ht="23.25">
      <c r="C48" s="89" t="s">
        <v>119</v>
      </c>
      <c r="D48" s="89"/>
      <c r="E48" s="89"/>
      <c r="F48" s="89"/>
    </row>
    <row r="51" spans="3:6" ht="23.25">
      <c r="C51" s="89" t="s">
        <v>127</v>
      </c>
      <c r="D51" s="89"/>
      <c r="E51" s="89"/>
      <c r="F51" s="89"/>
    </row>
    <row r="52" spans="3:6" ht="23.25">
      <c r="C52" s="89" t="s">
        <v>128</v>
      </c>
      <c r="D52" s="89"/>
      <c r="E52" s="89"/>
      <c r="F52" s="89"/>
    </row>
    <row r="53" spans="3:6" ht="23.25">
      <c r="C53" s="89" t="s">
        <v>129</v>
      </c>
      <c r="D53" s="89"/>
      <c r="E53" s="89"/>
      <c r="F53" s="89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5905511811023623" bottom="0.275590551181102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10">
      <selection activeCell="B20" sqref="B20"/>
    </sheetView>
  </sheetViews>
  <sheetFormatPr defaultColWidth="9.140625" defaultRowHeight="21.75"/>
  <cols>
    <col min="1" max="1" width="4.28125" style="205" customWidth="1"/>
    <col min="2" max="2" width="62.00390625" style="205" customWidth="1"/>
    <col min="3" max="4" width="17.00390625" style="205" customWidth="1"/>
    <col min="5" max="6" width="9.140625" style="205" customWidth="1"/>
    <col min="7" max="7" width="16.421875" style="205" bestFit="1" customWidth="1"/>
    <col min="8" max="16384" width="9.140625" style="205" customWidth="1"/>
  </cols>
  <sheetData>
    <row r="1" spans="1:4" ht="24">
      <c r="A1" s="668" t="s">
        <v>34</v>
      </c>
      <c r="B1" s="668"/>
      <c r="C1" s="668"/>
      <c r="D1" s="668"/>
    </row>
    <row r="2" spans="1:4" ht="24">
      <c r="A2" s="668" t="s">
        <v>376</v>
      </c>
      <c r="B2" s="668"/>
      <c r="C2" s="668"/>
      <c r="D2" s="668"/>
    </row>
    <row r="3" ht="33.75" customHeight="1">
      <c r="A3" s="207" t="s">
        <v>171</v>
      </c>
    </row>
    <row r="4" spans="2:4" ht="24">
      <c r="B4" s="205" t="s">
        <v>377</v>
      </c>
      <c r="D4" s="208">
        <f>งบทดลอง1!G37</f>
        <v>13396438.79</v>
      </c>
    </row>
    <row r="5" spans="1:4" ht="24">
      <c r="A5" s="206" t="s">
        <v>111</v>
      </c>
      <c r="B5" s="205" t="s">
        <v>172</v>
      </c>
      <c r="D5" s="208">
        <v>70900.69</v>
      </c>
    </row>
    <row r="6" spans="2:4" ht="24.75" thickBot="1">
      <c r="B6" s="207" t="s">
        <v>173</v>
      </c>
      <c r="D6" s="209">
        <f>D4-D5</f>
        <v>13325538.1</v>
      </c>
    </row>
    <row r="7" ht="35.25" customHeight="1" thickTop="1"/>
    <row r="8" ht="24">
      <c r="A8" s="207" t="s">
        <v>174</v>
      </c>
    </row>
    <row r="9" spans="2:4" ht="24">
      <c r="B9" s="205" t="s">
        <v>378</v>
      </c>
      <c r="D9" s="208">
        <f>'รับ-จ่ายเงินสด (2)'!G66</f>
        <v>37197090.93</v>
      </c>
    </row>
    <row r="10" spans="1:4" ht="24">
      <c r="A10" s="206" t="s">
        <v>111</v>
      </c>
      <c r="B10" s="205" t="s">
        <v>175</v>
      </c>
      <c r="C10" s="208" t="e">
        <f>D9-(D6+C11+C12)</f>
        <v>#REF!</v>
      </c>
      <c r="D10" s="208"/>
    </row>
    <row r="11" spans="2:4" ht="24">
      <c r="B11" s="205" t="s">
        <v>176</v>
      </c>
      <c r="C11" s="208" t="e">
        <f>รายละเอียดเงินรับฝาก!#REF!</f>
        <v>#REF!</v>
      </c>
      <c r="D11" s="208"/>
    </row>
    <row r="12" spans="2:7" ht="24">
      <c r="B12" s="205" t="s">
        <v>105</v>
      </c>
      <c r="C12" s="210">
        <f>งบทดลอง1!G38</f>
        <v>10202558.85</v>
      </c>
      <c r="D12" s="208" t="e">
        <f>C10+C11+C12</f>
        <v>#REF!</v>
      </c>
      <c r="G12" s="283" t="e">
        <f>D9-C11-C12-D6</f>
        <v>#REF!</v>
      </c>
    </row>
    <row r="13" spans="2:7" ht="24.75" thickBot="1">
      <c r="B13" s="207" t="s">
        <v>173</v>
      </c>
      <c r="D13" s="209" t="e">
        <f>D9-D12</f>
        <v>#REF!</v>
      </c>
      <c r="G13" s="208"/>
    </row>
    <row r="14" ht="24.75" thickTop="1">
      <c r="G14" s="208"/>
    </row>
    <row r="15" ht="24">
      <c r="B15" s="207" t="s">
        <v>177</v>
      </c>
    </row>
    <row r="16" spans="1:4" ht="24">
      <c r="A16" s="205" t="s">
        <v>178</v>
      </c>
      <c r="D16" s="213">
        <f>D6</f>
        <v>13325538.1</v>
      </c>
    </row>
    <row r="17" ht="24">
      <c r="A17" s="206" t="s">
        <v>111</v>
      </c>
    </row>
    <row r="18" spans="1:3" ht="24">
      <c r="A18" s="211" t="s">
        <v>53</v>
      </c>
      <c r="B18" s="205" t="s">
        <v>332</v>
      </c>
      <c r="C18" s="212">
        <v>341000</v>
      </c>
    </row>
    <row r="19" spans="1:3" ht="24">
      <c r="A19" s="211" t="s">
        <v>53</v>
      </c>
      <c r="B19" s="205" t="s">
        <v>333</v>
      </c>
      <c r="C19" s="212">
        <v>300000</v>
      </c>
    </row>
    <row r="20" spans="1:3" ht="24">
      <c r="A20" s="211" t="s">
        <v>53</v>
      </c>
      <c r="B20" s="205" t="s">
        <v>366</v>
      </c>
      <c r="C20" s="212">
        <v>1067000</v>
      </c>
    </row>
    <row r="21" spans="1:4" ht="24">
      <c r="A21" s="211" t="s">
        <v>53</v>
      </c>
      <c r="B21" s="205" t="s">
        <v>285</v>
      </c>
      <c r="C21" s="212"/>
      <c r="D21" s="210"/>
    </row>
    <row r="22" spans="1:4" ht="24">
      <c r="A22" s="211"/>
      <c r="B22" s="205" t="s">
        <v>269</v>
      </c>
      <c r="C22" s="212">
        <f>D16-C18-C19-C20</f>
        <v>11617538.1</v>
      </c>
      <c r="D22" s="419">
        <f>SUM(C18:C22)</f>
        <v>13325538.1</v>
      </c>
    </row>
    <row r="23" spans="1:4" ht="24.75" thickBot="1">
      <c r="A23" s="205" t="s">
        <v>179</v>
      </c>
      <c r="D23" s="420">
        <f>D16-D22</f>
        <v>0</v>
      </c>
    </row>
    <row r="24" ht="24.75" thickTop="1">
      <c r="A24" s="206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AE122"/>
  <sheetViews>
    <sheetView tabSelected="1" zoomScalePageLayoutView="0" workbookViewId="0" topLeftCell="A26">
      <pane xSplit="1" topLeftCell="T1" activePane="topRight" state="frozen"/>
      <selection pane="topLeft" activeCell="A86" sqref="A86"/>
      <selection pane="topRight" activeCell="AB117" sqref="AB117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311" customWidth="1"/>
    <col min="4" max="4" width="3.57421875" style="13" customWidth="1"/>
    <col min="5" max="6" width="10.57421875" style="13" customWidth="1"/>
    <col min="7" max="7" width="3.7109375" style="13" customWidth="1"/>
    <col min="8" max="9" width="10.57421875" style="13" customWidth="1"/>
    <col min="10" max="10" width="5.140625" style="13" customWidth="1"/>
    <col min="11" max="12" width="10.57421875" style="13" customWidth="1"/>
    <col min="13" max="13" width="5.140625" style="13" customWidth="1"/>
    <col min="14" max="14" width="10.57421875" style="13" customWidth="1"/>
    <col min="15" max="15" width="5.140625" style="13" customWidth="1"/>
    <col min="16" max="18" width="10.57421875" style="13" customWidth="1"/>
    <col min="19" max="19" width="5.140625" style="13" customWidth="1"/>
    <col min="20" max="20" width="10.57421875" style="13" customWidth="1"/>
    <col min="21" max="21" width="5.140625" style="13" customWidth="1"/>
    <col min="22" max="23" width="10.57421875" style="13" customWidth="1"/>
    <col min="24" max="24" width="5.140625" style="13" customWidth="1"/>
    <col min="25" max="26" width="10.57421875" style="13" customWidth="1"/>
    <col min="27" max="27" width="5.140625" style="13" customWidth="1"/>
    <col min="28" max="28" width="12.00390625" style="13" customWidth="1"/>
    <col min="29" max="29" width="16.00390625" style="338" customWidth="1"/>
    <col min="30" max="30" width="12.421875" style="13" bestFit="1" customWidth="1"/>
    <col min="31" max="31" width="15.28125" style="13" customWidth="1"/>
    <col min="32" max="32" width="18.421875" style="13" customWidth="1"/>
    <col min="33" max="16384" width="9.140625" style="13" customWidth="1"/>
  </cols>
  <sheetData>
    <row r="1" spans="1:31" s="1" customFormat="1" ht="23.25">
      <c r="A1" s="677" t="s">
        <v>180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214"/>
      <c r="AE1" s="214"/>
    </row>
    <row r="2" spans="1:29" ht="21.75">
      <c r="A2" s="677" t="s">
        <v>181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</row>
    <row r="3" spans="1:29" ht="21.75">
      <c r="A3" s="682" t="s">
        <v>737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</row>
    <row r="4" spans="1:29" ht="15" customHeight="1">
      <c r="A4" s="215"/>
      <c r="B4" s="215"/>
      <c r="C4" s="306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320"/>
    </row>
    <row r="5" spans="1:29" ht="21.75">
      <c r="A5" s="216" t="s">
        <v>182</v>
      </c>
      <c r="B5" s="671" t="s">
        <v>183</v>
      </c>
      <c r="C5" s="672"/>
      <c r="D5" s="669"/>
      <c r="E5" s="673" t="s">
        <v>571</v>
      </c>
      <c r="F5" s="674"/>
      <c r="G5" s="541"/>
      <c r="H5" s="673" t="s">
        <v>184</v>
      </c>
      <c r="I5" s="674"/>
      <c r="J5" s="669"/>
      <c r="K5" s="673" t="s">
        <v>185</v>
      </c>
      <c r="L5" s="674"/>
      <c r="M5" s="218"/>
      <c r="N5" s="219" t="s">
        <v>186</v>
      </c>
      <c r="O5" s="220"/>
      <c r="P5" s="673" t="s">
        <v>187</v>
      </c>
      <c r="Q5" s="676"/>
      <c r="R5" s="674"/>
      <c r="S5" s="669"/>
      <c r="T5" s="217" t="s">
        <v>188</v>
      </c>
      <c r="U5" s="221"/>
      <c r="V5" s="671" t="s">
        <v>189</v>
      </c>
      <c r="W5" s="672"/>
      <c r="X5" s="669"/>
      <c r="Y5" s="673" t="s">
        <v>274</v>
      </c>
      <c r="Z5" s="674"/>
      <c r="AA5" s="217"/>
      <c r="AB5" s="222" t="s">
        <v>190</v>
      </c>
      <c r="AC5" s="678" t="s">
        <v>84</v>
      </c>
    </row>
    <row r="6" spans="1:29" ht="21.75">
      <c r="A6" s="223" t="s">
        <v>191</v>
      </c>
      <c r="B6" s="224" t="s">
        <v>192</v>
      </c>
      <c r="C6" s="224" t="s">
        <v>193</v>
      </c>
      <c r="D6" s="670"/>
      <c r="E6" s="217" t="s">
        <v>572</v>
      </c>
      <c r="F6" s="217" t="s">
        <v>573</v>
      </c>
      <c r="G6" s="226"/>
      <c r="H6" s="217" t="s">
        <v>194</v>
      </c>
      <c r="I6" s="217" t="s">
        <v>195</v>
      </c>
      <c r="J6" s="670"/>
      <c r="K6" s="217" t="s">
        <v>196</v>
      </c>
      <c r="L6" s="217" t="s">
        <v>197</v>
      </c>
      <c r="M6" s="226"/>
      <c r="N6" s="219" t="s">
        <v>198</v>
      </c>
      <c r="O6" s="224"/>
      <c r="P6" s="227" t="s">
        <v>199</v>
      </c>
      <c r="Q6" s="227" t="s">
        <v>200</v>
      </c>
      <c r="R6" s="227" t="s">
        <v>201</v>
      </c>
      <c r="S6" s="670"/>
      <c r="T6" s="227" t="s">
        <v>202</v>
      </c>
      <c r="U6" s="224"/>
      <c r="V6" s="227" t="s">
        <v>203</v>
      </c>
      <c r="W6" s="227" t="s">
        <v>204</v>
      </c>
      <c r="X6" s="670"/>
      <c r="Y6" s="222" t="s">
        <v>372</v>
      </c>
      <c r="Z6" s="225" t="s">
        <v>275</v>
      </c>
      <c r="AA6" s="225"/>
      <c r="AB6" s="228" t="s">
        <v>205</v>
      </c>
      <c r="AC6" s="679"/>
    </row>
    <row r="7" spans="1:30" s="305" customFormat="1" ht="21.75">
      <c r="A7" s="229" t="s">
        <v>263</v>
      </c>
      <c r="B7" s="314">
        <v>2605880.25</v>
      </c>
      <c r="C7" s="314">
        <v>840280</v>
      </c>
      <c r="D7" s="314" t="s">
        <v>116</v>
      </c>
      <c r="E7" s="314"/>
      <c r="F7" s="314"/>
      <c r="G7" s="314"/>
      <c r="H7" s="314">
        <v>214090</v>
      </c>
      <c r="I7" s="313">
        <v>0</v>
      </c>
      <c r="J7" s="314" t="s">
        <v>116</v>
      </c>
      <c r="K7" s="313">
        <v>0</v>
      </c>
      <c r="L7" s="313">
        <v>0</v>
      </c>
      <c r="M7" s="313">
        <v>0</v>
      </c>
      <c r="N7" s="313">
        <v>0</v>
      </c>
      <c r="O7" s="313">
        <v>0</v>
      </c>
      <c r="P7" s="314">
        <v>374342.57</v>
      </c>
      <c r="Q7" s="313">
        <v>0</v>
      </c>
      <c r="R7" s="313">
        <v>0</v>
      </c>
      <c r="S7" s="313">
        <v>0</v>
      </c>
      <c r="T7" s="313">
        <v>0</v>
      </c>
      <c r="U7" s="313">
        <v>0</v>
      </c>
      <c r="V7" s="313">
        <v>0</v>
      </c>
      <c r="W7" s="313">
        <v>0</v>
      </c>
      <c r="X7" s="313">
        <v>0</v>
      </c>
      <c r="Y7" s="313"/>
      <c r="Z7" s="313">
        <v>0</v>
      </c>
      <c r="AA7" s="313">
        <v>0</v>
      </c>
      <c r="AB7" s="313">
        <v>0</v>
      </c>
      <c r="AC7" s="321">
        <v>4034592.82</v>
      </c>
      <c r="AD7" s="312"/>
    </row>
    <row r="8" spans="1:29" ht="21.75">
      <c r="A8" s="229" t="s">
        <v>206</v>
      </c>
      <c r="B8" s="231">
        <f>57960+10000</f>
        <v>67960</v>
      </c>
      <c r="C8" s="231" t="s">
        <v>116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322">
        <f>B8</f>
        <v>67960</v>
      </c>
    </row>
    <row r="9" spans="1:29" ht="21.75">
      <c r="A9" s="229" t="s">
        <v>207</v>
      </c>
      <c r="B9" s="231">
        <v>170960</v>
      </c>
      <c r="C9" s="231">
        <v>90340</v>
      </c>
      <c r="D9" s="230"/>
      <c r="E9" s="230"/>
      <c r="F9" s="230"/>
      <c r="G9" s="230"/>
      <c r="H9" s="231">
        <v>24200</v>
      </c>
      <c r="I9" s="230"/>
      <c r="J9" s="230"/>
      <c r="K9" s="230"/>
      <c r="L9" s="230"/>
      <c r="M9" s="230"/>
      <c r="N9" s="230"/>
      <c r="O9" s="230"/>
      <c r="P9" s="231">
        <v>44890</v>
      </c>
      <c r="Q9" s="232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322">
        <f>B9+C9+H9+I9+K9+L9+N9+P9+Q9+R9+T9+V9+W9+AB9</f>
        <v>330390</v>
      </c>
    </row>
    <row r="10" spans="1:29" ht="21.75">
      <c r="A10" s="229" t="s">
        <v>208</v>
      </c>
      <c r="B10" s="233">
        <v>15670</v>
      </c>
      <c r="C10" s="233">
        <v>15340</v>
      </c>
      <c r="D10" s="234"/>
      <c r="E10" s="234"/>
      <c r="F10" s="234"/>
      <c r="G10" s="234"/>
      <c r="H10" s="233">
        <v>3030</v>
      </c>
      <c r="I10" s="234"/>
      <c r="J10" s="234"/>
      <c r="K10" s="234"/>
      <c r="L10" s="234"/>
      <c r="M10" s="234"/>
      <c r="N10" s="234"/>
      <c r="O10" s="234"/>
      <c r="P10" s="233">
        <v>2325</v>
      </c>
      <c r="Q10" s="235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322">
        <f>B10+C10+H10+I10+K10+L10+N10+P10+Q10+R10+T10+V10+W10+AB10</f>
        <v>36365</v>
      </c>
    </row>
    <row r="11" spans="1:29" ht="21.75">
      <c r="A11" s="229" t="s">
        <v>209</v>
      </c>
      <c r="B11" s="231">
        <v>13500</v>
      </c>
      <c r="C11" s="231"/>
      <c r="D11" s="230"/>
      <c r="E11" s="230"/>
      <c r="F11" s="230"/>
      <c r="G11" s="230"/>
      <c r="H11" s="231"/>
      <c r="I11" s="230"/>
      <c r="J11" s="230"/>
      <c r="K11" s="230"/>
      <c r="L11" s="230"/>
      <c r="M11" s="230"/>
      <c r="N11" s="230"/>
      <c r="O11" s="230"/>
      <c r="P11" s="231"/>
      <c r="Q11" s="232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322">
        <f>B11+C11+H11+I11+K11+L11+N11+P11+Q11+R11+T11+V11+W11+AB11</f>
        <v>13500</v>
      </c>
    </row>
    <row r="12" spans="1:29" ht="21.75">
      <c r="A12" s="229" t="s">
        <v>535</v>
      </c>
      <c r="B12" s="231">
        <v>16560</v>
      </c>
      <c r="C12" s="231"/>
      <c r="D12" s="230"/>
      <c r="E12" s="230"/>
      <c r="F12" s="230"/>
      <c r="G12" s="230"/>
      <c r="H12" s="231"/>
      <c r="I12" s="230"/>
      <c r="J12" s="230"/>
      <c r="K12" s="230"/>
      <c r="L12" s="230"/>
      <c r="M12" s="230"/>
      <c r="N12" s="230"/>
      <c r="O12" s="230"/>
      <c r="P12" s="231"/>
      <c r="Q12" s="232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322">
        <f>B12+C12+H12+I12+K12+L12+N12+P12+Q12+R12+T12+V12+W12+AB12</f>
        <v>16560</v>
      </c>
    </row>
    <row r="13" spans="1:29" ht="22.5" thickBot="1">
      <c r="A13" s="229" t="s">
        <v>270</v>
      </c>
      <c r="B13" s="231">
        <f>27600+96600</f>
        <v>124200</v>
      </c>
      <c r="C13" s="231"/>
      <c r="D13" s="230"/>
      <c r="E13" s="230"/>
      <c r="F13" s="230"/>
      <c r="G13" s="230"/>
      <c r="H13" s="231"/>
      <c r="I13" s="230"/>
      <c r="J13" s="230"/>
      <c r="K13" s="230"/>
      <c r="L13" s="230"/>
      <c r="M13" s="230"/>
      <c r="N13" s="230"/>
      <c r="O13" s="230"/>
      <c r="P13" s="231"/>
      <c r="Q13" s="232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322">
        <f>B13+C13+H13+I13+K13+L13+N13+P13+Q13+R13+T13+V13+W13+AB13</f>
        <v>124200</v>
      </c>
    </row>
    <row r="14" spans="1:29" ht="22.5" thickBot="1">
      <c r="A14" s="236" t="s">
        <v>210</v>
      </c>
      <c r="B14" s="237">
        <f>B8+B9+B10+B11+B12+B13</f>
        <v>408850</v>
      </c>
      <c r="C14" s="237">
        <f>SUM(C8:C13)</f>
        <v>105680</v>
      </c>
      <c r="D14" s="238"/>
      <c r="E14" s="238"/>
      <c r="F14" s="238"/>
      <c r="G14" s="238"/>
      <c r="H14" s="237">
        <f>SUM(H8:H13)</f>
        <v>27230</v>
      </c>
      <c r="I14" s="238"/>
      <c r="J14" s="238"/>
      <c r="K14" s="238"/>
      <c r="L14" s="238"/>
      <c r="M14" s="238"/>
      <c r="N14" s="238"/>
      <c r="O14" s="238"/>
      <c r="P14" s="237">
        <f>SUM(P9:P13)</f>
        <v>47215</v>
      </c>
      <c r="Q14" s="239"/>
      <c r="R14" s="238"/>
      <c r="S14" s="238"/>
      <c r="T14" s="239"/>
      <c r="U14" s="238"/>
      <c r="V14" s="238"/>
      <c r="W14" s="238"/>
      <c r="X14" s="238"/>
      <c r="Y14" s="238"/>
      <c r="Z14" s="238"/>
      <c r="AA14" s="238"/>
      <c r="AB14" s="238"/>
      <c r="AC14" s="324">
        <f>B14+C14+H14+P14</f>
        <v>588975</v>
      </c>
    </row>
    <row r="15" spans="1:31" ht="22.5" thickBot="1">
      <c r="A15" s="241" t="s">
        <v>211</v>
      </c>
      <c r="B15" s="237">
        <f>B14+B7</f>
        <v>3014730.25</v>
      </c>
      <c r="C15" s="237">
        <f>C14+C7</f>
        <v>945960</v>
      </c>
      <c r="D15" s="238"/>
      <c r="E15" s="238"/>
      <c r="F15" s="238"/>
      <c r="G15" s="238"/>
      <c r="H15" s="237">
        <f>H14+H7</f>
        <v>241320</v>
      </c>
      <c r="I15" s="237"/>
      <c r="J15" s="238"/>
      <c r="K15" s="238"/>
      <c r="L15" s="238"/>
      <c r="M15" s="238"/>
      <c r="N15" s="238"/>
      <c r="O15" s="238"/>
      <c r="P15" s="237">
        <f>P14+P7</f>
        <v>421557.57</v>
      </c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324">
        <f>AC7+AC14</f>
        <v>4623567.82</v>
      </c>
      <c r="AD15" s="41">
        <f>AC15-งบทดลอง1!F19</f>
        <v>0</v>
      </c>
      <c r="AE15" s="41"/>
    </row>
    <row r="16" spans="1:29" ht="21.75">
      <c r="A16" s="229" t="s">
        <v>264</v>
      </c>
      <c r="B16" s="316">
        <v>370080</v>
      </c>
      <c r="C16" s="316">
        <v>147080</v>
      </c>
      <c r="D16" s="298">
        <v>0</v>
      </c>
      <c r="E16" s="298"/>
      <c r="F16" s="298"/>
      <c r="G16" s="298"/>
      <c r="H16" s="316">
        <v>7200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315">
        <v>288000</v>
      </c>
      <c r="Q16" s="298"/>
      <c r="R16" s="315">
        <v>217120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298"/>
      <c r="Z16" s="298">
        <v>0</v>
      </c>
      <c r="AA16" s="298">
        <v>0</v>
      </c>
      <c r="AB16" s="298">
        <v>0</v>
      </c>
      <c r="AC16" s="325">
        <v>1028480</v>
      </c>
    </row>
    <row r="17" spans="1:29" ht="21.75">
      <c r="A17" s="229" t="s">
        <v>212</v>
      </c>
      <c r="B17" s="322">
        <f>31040+14720</f>
        <v>45760</v>
      </c>
      <c r="C17" s="322">
        <f>14310+4450</f>
        <v>18760</v>
      </c>
      <c r="D17" s="231" t="s">
        <v>116</v>
      </c>
      <c r="E17" s="231"/>
      <c r="F17" s="231"/>
      <c r="G17" s="231"/>
      <c r="H17" s="322">
        <v>900</v>
      </c>
      <c r="I17" s="230"/>
      <c r="J17" s="230"/>
      <c r="K17" s="230"/>
      <c r="L17" s="230"/>
      <c r="M17" s="230"/>
      <c r="N17" s="230"/>
      <c r="O17" s="230"/>
      <c r="P17" s="231">
        <v>36000</v>
      </c>
      <c r="Q17" s="230"/>
      <c r="R17" s="231">
        <f>21240+5900</f>
        <v>27140</v>
      </c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322">
        <f>B17+C17+H17+I17+K17+L17+N17+P17+Q17+R17+T17+V17+W17+AB17</f>
        <v>128560</v>
      </c>
    </row>
    <row r="18" spans="1:29" ht="22.5" thickBot="1">
      <c r="A18" s="229"/>
      <c r="B18" s="230"/>
      <c r="C18" s="231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1"/>
      <c r="Q18" s="230"/>
      <c r="R18" s="231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323"/>
    </row>
    <row r="19" spans="1:29" ht="22.5" thickBot="1">
      <c r="A19" s="236" t="s">
        <v>210</v>
      </c>
      <c r="B19" s="240">
        <f>SUM(B17:B18)</f>
        <v>45760</v>
      </c>
      <c r="C19" s="240">
        <f>SUM(C17:C18)</f>
        <v>18760</v>
      </c>
      <c r="D19" s="240"/>
      <c r="E19" s="240"/>
      <c r="F19" s="240"/>
      <c r="G19" s="240"/>
      <c r="H19" s="240">
        <f>SUM(H17:H18)</f>
        <v>900</v>
      </c>
      <c r="I19" s="238"/>
      <c r="J19" s="238"/>
      <c r="K19" s="238"/>
      <c r="L19" s="238"/>
      <c r="M19" s="238"/>
      <c r="N19" s="238"/>
      <c r="O19" s="238"/>
      <c r="P19" s="300">
        <f>SUM(P17:P18)</f>
        <v>36000</v>
      </c>
      <c r="Q19" s="238"/>
      <c r="R19" s="237">
        <f>SUM(R17:R18)</f>
        <v>27140</v>
      </c>
      <c r="S19" s="238"/>
      <c r="T19" s="239"/>
      <c r="U19" s="239"/>
      <c r="V19" s="238"/>
      <c r="W19" s="239"/>
      <c r="X19" s="238"/>
      <c r="Y19" s="238"/>
      <c r="Z19" s="238"/>
      <c r="AA19" s="238"/>
      <c r="AB19" s="238"/>
      <c r="AC19" s="324">
        <f>B19+C19+H19+I19+K19+L19+N19+P19+Q19+R19+T19+V19+W19+AB19</f>
        <v>128560</v>
      </c>
    </row>
    <row r="20" spans="1:30" ht="22.5" thickBot="1">
      <c r="A20" s="241" t="s">
        <v>211</v>
      </c>
      <c r="B20" s="237">
        <f>B19+B16</f>
        <v>415840</v>
      </c>
      <c r="C20" s="237">
        <f>C19+C16</f>
        <v>165840</v>
      </c>
      <c r="D20" s="237" t="s">
        <v>116</v>
      </c>
      <c r="E20" s="237"/>
      <c r="F20" s="237"/>
      <c r="G20" s="237"/>
      <c r="H20" s="237">
        <f>H19+H16</f>
        <v>8100</v>
      </c>
      <c r="I20" s="238"/>
      <c r="J20" s="238"/>
      <c r="K20" s="238"/>
      <c r="L20" s="238"/>
      <c r="M20" s="238"/>
      <c r="N20" s="238"/>
      <c r="O20" s="238"/>
      <c r="P20" s="237">
        <f>P19+P16</f>
        <v>324000</v>
      </c>
      <c r="Q20" s="238"/>
      <c r="R20" s="237">
        <f>R19+R16</f>
        <v>244260</v>
      </c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324">
        <f>AC19+AC16</f>
        <v>1157040</v>
      </c>
      <c r="AD20" s="287">
        <f>AC20-(งบทดลอง1!F20+งบทดลอง1!F21)</f>
        <v>0</v>
      </c>
    </row>
    <row r="21" spans="1:30" ht="21.75">
      <c r="A21" s="229" t="s">
        <v>265</v>
      </c>
      <c r="B21" s="317">
        <v>170348</v>
      </c>
      <c r="C21" s="317">
        <v>67344</v>
      </c>
      <c r="D21" s="317"/>
      <c r="E21" s="317"/>
      <c r="F21" s="317"/>
      <c r="G21" s="317"/>
      <c r="H21" s="317">
        <v>16928</v>
      </c>
      <c r="I21" s="299">
        <v>454125.5</v>
      </c>
      <c r="J21" s="299">
        <v>454125.5</v>
      </c>
      <c r="K21" s="299">
        <v>454125.5</v>
      </c>
      <c r="L21" s="299">
        <v>454125.5</v>
      </c>
      <c r="M21" s="299">
        <v>454125.5</v>
      </c>
      <c r="N21" s="299">
        <v>454125.5</v>
      </c>
      <c r="O21" s="299">
        <v>454125.5</v>
      </c>
      <c r="P21" s="317">
        <v>31771.5</v>
      </c>
      <c r="Q21" s="299">
        <v>454125.5</v>
      </c>
      <c r="R21" s="299">
        <v>454125.5</v>
      </c>
      <c r="S21" s="299">
        <v>454125.5</v>
      </c>
      <c r="T21" s="299">
        <v>454125.5</v>
      </c>
      <c r="U21" s="299">
        <v>454125.5</v>
      </c>
      <c r="V21" s="299">
        <v>454125.5</v>
      </c>
      <c r="W21" s="299">
        <v>454125.5</v>
      </c>
      <c r="X21" s="299">
        <v>454125.5</v>
      </c>
      <c r="Y21" s="299"/>
      <c r="Z21" s="299">
        <v>454125.5</v>
      </c>
      <c r="AA21" s="299">
        <v>454125.5</v>
      </c>
      <c r="AB21" s="299">
        <v>454125.5</v>
      </c>
      <c r="AC21" s="326">
        <v>311258</v>
      </c>
      <c r="AD21" s="41"/>
    </row>
    <row r="22" spans="1:29" ht="21.75">
      <c r="A22" s="229" t="s">
        <v>213</v>
      </c>
      <c r="B22" s="231"/>
      <c r="C22" s="31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1" t="s">
        <v>116</v>
      </c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326">
        <f>B22</f>
        <v>0</v>
      </c>
    </row>
    <row r="23" spans="1:29" ht="21.75">
      <c r="A23" s="229" t="s">
        <v>214</v>
      </c>
      <c r="B23" s="231"/>
      <c r="C23" s="231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1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326">
        <f>B23</f>
        <v>0</v>
      </c>
    </row>
    <row r="24" spans="1:29" ht="21.75">
      <c r="A24" s="229" t="s">
        <v>215</v>
      </c>
      <c r="B24" s="231"/>
      <c r="C24" s="231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1"/>
      <c r="Q24" s="232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326">
        <f>B24</f>
        <v>0</v>
      </c>
    </row>
    <row r="25" spans="1:29" ht="21.75">
      <c r="A25" s="229" t="s">
        <v>216</v>
      </c>
      <c r="B25" s="233"/>
      <c r="C25" s="233"/>
      <c r="D25" s="234"/>
      <c r="E25" s="234"/>
      <c r="F25" s="234"/>
      <c r="G25" s="234"/>
      <c r="H25" s="233"/>
      <c r="I25" s="234"/>
      <c r="J25" s="234"/>
      <c r="K25" s="234"/>
      <c r="L25" s="234"/>
      <c r="M25" s="234"/>
      <c r="N25" s="234"/>
      <c r="O25" s="234"/>
      <c r="P25" s="233"/>
      <c r="Q25" s="235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326">
        <f>B25</f>
        <v>0</v>
      </c>
    </row>
    <row r="26" spans="1:29" ht="21.75">
      <c r="A26" s="229" t="s">
        <v>217</v>
      </c>
      <c r="B26" s="233">
        <v>12450</v>
      </c>
      <c r="C26" s="233">
        <v>8850</v>
      </c>
      <c r="D26" s="234"/>
      <c r="E26" s="234"/>
      <c r="F26" s="234"/>
      <c r="G26" s="234"/>
      <c r="H26" s="233"/>
      <c r="I26" s="234"/>
      <c r="J26" s="234"/>
      <c r="K26" s="234"/>
      <c r="L26" s="234"/>
      <c r="M26" s="234"/>
      <c r="N26" s="234"/>
      <c r="O26" s="234"/>
      <c r="P26" s="233">
        <v>1950</v>
      </c>
      <c r="Q26" s="235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326">
        <f>B26+C26+P26</f>
        <v>23250</v>
      </c>
    </row>
    <row r="27" spans="1:29" ht="21.75">
      <c r="A27" s="229" t="s">
        <v>218</v>
      </c>
      <c r="B27" s="233">
        <v>2200</v>
      </c>
      <c r="C27" s="233"/>
      <c r="D27" s="234"/>
      <c r="E27" s="234"/>
      <c r="F27" s="234"/>
      <c r="G27" s="234"/>
      <c r="H27" s="233"/>
      <c r="I27" s="234"/>
      <c r="J27" s="234"/>
      <c r="K27" s="234"/>
      <c r="L27" s="234"/>
      <c r="M27" s="234"/>
      <c r="N27" s="234"/>
      <c r="O27" s="234"/>
      <c r="P27" s="233"/>
      <c r="Q27" s="235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326">
        <f>B27</f>
        <v>2200</v>
      </c>
    </row>
    <row r="28" spans="1:29" ht="21.75">
      <c r="A28" s="229" t="s">
        <v>219</v>
      </c>
      <c r="B28" s="231">
        <v>20269</v>
      </c>
      <c r="C28" s="231">
        <v>5707</v>
      </c>
      <c r="D28" s="230"/>
      <c r="E28" s="230"/>
      <c r="F28" s="230"/>
      <c r="G28" s="230"/>
      <c r="H28" s="231"/>
      <c r="I28" s="230"/>
      <c r="J28" s="230"/>
      <c r="K28" s="230"/>
      <c r="L28" s="230"/>
      <c r="M28" s="230"/>
      <c r="N28" s="230"/>
      <c r="O28" s="230"/>
      <c r="P28" s="231">
        <v>2660</v>
      </c>
      <c r="Q28" s="232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326">
        <f>C28+P28</f>
        <v>8367</v>
      </c>
    </row>
    <row r="29" spans="1:29" ht="22.5" thickBot="1">
      <c r="A29" s="229" t="s">
        <v>220</v>
      </c>
      <c r="B29" s="243"/>
      <c r="C29" s="243"/>
      <c r="D29" s="244"/>
      <c r="E29" s="244"/>
      <c r="F29" s="244"/>
      <c r="G29" s="244"/>
      <c r="H29" s="243"/>
      <c r="I29" s="244"/>
      <c r="J29" s="244"/>
      <c r="K29" s="244"/>
      <c r="L29" s="244"/>
      <c r="M29" s="244"/>
      <c r="N29" s="244"/>
      <c r="O29" s="244"/>
      <c r="P29" s="243"/>
      <c r="Q29" s="245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327" t="s">
        <v>116</v>
      </c>
    </row>
    <row r="30" spans="1:29" ht="22.5" thickBot="1">
      <c r="A30" s="236" t="s">
        <v>210</v>
      </c>
      <c r="B30" s="237">
        <f>SUM(B22:B29)</f>
        <v>34919</v>
      </c>
      <c r="C30" s="237">
        <f>SUM(C22:C29)</f>
        <v>14557</v>
      </c>
      <c r="D30" s="237"/>
      <c r="E30" s="237"/>
      <c r="F30" s="237"/>
      <c r="G30" s="237"/>
      <c r="H30" s="237">
        <f>SUM(H22:H29)</f>
        <v>0</v>
      </c>
      <c r="I30" s="238"/>
      <c r="J30" s="238"/>
      <c r="K30" s="238"/>
      <c r="L30" s="238"/>
      <c r="M30" s="238"/>
      <c r="N30" s="238"/>
      <c r="O30" s="238"/>
      <c r="P30" s="237">
        <f>SUM(P25:P29)</f>
        <v>4610</v>
      </c>
      <c r="Q30" s="239"/>
      <c r="R30" s="238"/>
      <c r="S30" s="238"/>
      <c r="T30" s="239"/>
      <c r="U30" s="238"/>
      <c r="V30" s="238"/>
      <c r="W30" s="238"/>
      <c r="X30" s="238"/>
      <c r="Y30" s="238"/>
      <c r="Z30" s="238"/>
      <c r="AA30" s="238"/>
      <c r="AB30" s="302"/>
      <c r="AC30" s="328">
        <f>B30+C30+H30+I30+K30+L30+N30+P30+Q30+R30+T30+V30+W30+AB30</f>
        <v>54086</v>
      </c>
    </row>
    <row r="31" spans="1:30" ht="22.5" thickBot="1">
      <c r="A31" s="241" t="s">
        <v>211</v>
      </c>
      <c r="B31" s="301">
        <f>B30+B21</f>
        <v>205267</v>
      </c>
      <c r="C31" s="237">
        <f>C30+C21</f>
        <v>81901</v>
      </c>
      <c r="D31" s="237"/>
      <c r="E31" s="237"/>
      <c r="F31" s="237"/>
      <c r="G31" s="237"/>
      <c r="H31" s="237">
        <f>H30+H21</f>
        <v>16928</v>
      </c>
      <c r="I31" s="238"/>
      <c r="J31" s="238"/>
      <c r="K31" s="238"/>
      <c r="L31" s="238"/>
      <c r="M31" s="238"/>
      <c r="N31" s="238"/>
      <c r="O31" s="238"/>
      <c r="P31" s="237">
        <f>P30+P21</f>
        <v>36381.5</v>
      </c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329">
        <f>AC21+AC30</f>
        <v>365344</v>
      </c>
      <c r="AD31" s="41">
        <f>งบทดลอง1!F22-AC31</f>
        <v>0</v>
      </c>
    </row>
    <row r="32" spans="1:30" ht="21.75">
      <c r="A32" s="229" t="s">
        <v>266</v>
      </c>
      <c r="B32" s="315">
        <v>1377537.94</v>
      </c>
      <c r="C32" s="315">
        <v>399675.5</v>
      </c>
      <c r="D32" s="315"/>
      <c r="E32" s="315"/>
      <c r="F32" s="315"/>
      <c r="G32" s="315"/>
      <c r="H32" s="315">
        <v>584205.16</v>
      </c>
      <c r="I32" s="315">
        <v>71630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98">
        <v>0</v>
      </c>
      <c r="P32" s="315">
        <v>140740</v>
      </c>
      <c r="Q32" s="315"/>
      <c r="R32" s="315">
        <v>383900</v>
      </c>
      <c r="S32" s="315"/>
      <c r="T32" s="315">
        <v>374602</v>
      </c>
      <c r="U32" s="315"/>
      <c r="V32" s="315">
        <v>29585</v>
      </c>
      <c r="W32" s="315">
        <v>221629</v>
      </c>
      <c r="X32" s="315"/>
      <c r="Y32" s="315"/>
      <c r="Z32" s="315">
        <v>1620</v>
      </c>
      <c r="AA32" s="298">
        <v>0</v>
      </c>
      <c r="AB32" s="298">
        <v>0</v>
      </c>
      <c r="AC32" s="325">
        <v>3369557.93</v>
      </c>
      <c r="AD32" s="41"/>
    </row>
    <row r="33" spans="1:29" ht="21.75">
      <c r="A33" s="229" t="s">
        <v>221</v>
      </c>
      <c r="B33" s="231">
        <f>10000+6100+3900+24000+15400</f>
        <v>59400</v>
      </c>
      <c r="C33" s="231">
        <f>32000+76167+3900+2000+8555.25</f>
        <v>122622.25</v>
      </c>
      <c r="D33" s="231"/>
      <c r="E33" s="231"/>
      <c r="F33" s="231"/>
      <c r="G33" s="231"/>
      <c r="H33" s="231"/>
      <c r="I33" s="243"/>
      <c r="J33" s="243"/>
      <c r="K33" s="243"/>
      <c r="L33" s="243"/>
      <c r="M33" s="243"/>
      <c r="N33" s="243"/>
      <c r="O33" s="243"/>
      <c r="P33" s="243">
        <v>9990</v>
      </c>
      <c r="Q33" s="243"/>
      <c r="R33" s="243"/>
      <c r="S33" s="243"/>
      <c r="T33" s="231"/>
      <c r="U33" s="243"/>
      <c r="V33" s="243"/>
      <c r="W33" s="243"/>
      <c r="X33" s="243"/>
      <c r="Y33" s="243"/>
      <c r="Z33" s="243"/>
      <c r="AA33" s="243"/>
      <c r="AB33" s="243"/>
      <c r="AC33" s="322">
        <f>+B33+C33+H33+I33+K33+L33+N33+P33+Q33+R33+T33+V33+W33</f>
        <v>192012.25</v>
      </c>
    </row>
    <row r="34" spans="1:29" ht="21.75">
      <c r="A34" s="229" t="s">
        <v>222</v>
      </c>
      <c r="B34" s="243">
        <v>11688.37</v>
      </c>
      <c r="C34" s="243"/>
      <c r="D34" s="243"/>
      <c r="E34" s="243"/>
      <c r="F34" s="243"/>
      <c r="G34" s="243"/>
      <c r="H34" s="243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322">
        <f>+B34+C34+H34+I34+K34+L34+N34+P34+Q34+R34+T34+V34+W34</f>
        <v>11688.37</v>
      </c>
    </row>
    <row r="35" spans="1:29" ht="21.75">
      <c r="A35" s="229" t="s">
        <v>223</v>
      </c>
      <c r="B35" s="231">
        <f>5200+4492.8</f>
        <v>9692.8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322">
        <f>+B35+C35+H35+I35+K35+L35+N35+P35+Q35+R35+T35+V35+W35</f>
        <v>9692.8</v>
      </c>
    </row>
    <row r="36" spans="1:29" ht="22.5" thickBot="1">
      <c r="A36" s="229" t="s">
        <v>224</v>
      </c>
      <c r="B36" s="246">
        <v>94770</v>
      </c>
      <c r="C36" s="246">
        <v>7690</v>
      </c>
      <c r="D36" s="246"/>
      <c r="E36" s="246"/>
      <c r="F36" s="246"/>
      <c r="G36" s="246"/>
      <c r="H36" s="246">
        <f>8000.84+5578.66</f>
        <v>13579.5</v>
      </c>
      <c r="I36" s="246"/>
      <c r="J36" s="246"/>
      <c r="K36" s="246"/>
      <c r="L36" s="246"/>
      <c r="M36" s="246"/>
      <c r="N36" s="246"/>
      <c r="O36" s="246"/>
      <c r="P36" s="246">
        <v>6000</v>
      </c>
      <c r="Q36" s="246"/>
      <c r="R36" s="246">
        <f>4100+55900</f>
        <v>60000</v>
      </c>
      <c r="S36" s="246"/>
      <c r="T36" s="246"/>
      <c r="U36" s="246"/>
      <c r="V36" s="246"/>
      <c r="W36" s="491"/>
      <c r="X36" s="246"/>
      <c r="Y36" s="246">
        <v>4900</v>
      </c>
      <c r="Z36" s="246"/>
      <c r="AA36" s="246"/>
      <c r="AB36" s="246"/>
      <c r="AC36" s="322">
        <f>+B36+C36+H36+I36+K36+L36+N36+P36+Q36+R36+T36+V36+W36+Y36+Z36+AB36</f>
        <v>186939.5</v>
      </c>
    </row>
    <row r="37" spans="1:30" ht="22.5" thickBot="1">
      <c r="A37" s="236" t="s">
        <v>210</v>
      </c>
      <c r="B37" s="240">
        <f>B33+B35+B36</f>
        <v>163862.8</v>
      </c>
      <c r="C37" s="240">
        <f>C33+C35+C36</f>
        <v>130312.25</v>
      </c>
      <c r="D37" s="240"/>
      <c r="E37" s="240"/>
      <c r="F37" s="240"/>
      <c r="G37" s="240"/>
      <c r="H37" s="240">
        <f>H33+H35+H36</f>
        <v>13579.5</v>
      </c>
      <c r="I37" s="493">
        <f>I33+I34+I35+I36</f>
        <v>0</v>
      </c>
      <c r="J37" s="493"/>
      <c r="K37" s="493"/>
      <c r="L37" s="493"/>
      <c r="M37" s="493"/>
      <c r="N37" s="493"/>
      <c r="O37" s="493"/>
      <c r="P37" s="493">
        <f>P33+P34+P35+P36</f>
        <v>15990</v>
      </c>
      <c r="Q37" s="464">
        <f>Q33+Q34+Q35+Q36</f>
        <v>0</v>
      </c>
      <c r="R37" s="237">
        <f>R33+R34+R35+R36</f>
        <v>60000</v>
      </c>
      <c r="S37" s="237"/>
      <c r="T37" s="237">
        <f>T33+T34+T35+T36</f>
        <v>0</v>
      </c>
      <c r="U37" s="237"/>
      <c r="V37" s="237">
        <f>V33+V34+V35+V36</f>
        <v>0</v>
      </c>
      <c r="W37" s="492">
        <f>W36+W35+W34+W33</f>
        <v>0</v>
      </c>
      <c r="X37" s="492">
        <f>X36+X35+X34+X33</f>
        <v>0</v>
      </c>
      <c r="Y37" s="492">
        <f>Y36+Y35+Y34+Y33</f>
        <v>4900</v>
      </c>
      <c r="Z37" s="492">
        <f>Z36+Z35+Z34+Z33</f>
        <v>0</v>
      </c>
      <c r="AA37" s="237"/>
      <c r="AB37" s="237"/>
      <c r="AC37" s="322">
        <f>SUM(AC33:AC36)</f>
        <v>400332.92</v>
      </c>
      <c r="AD37" s="41"/>
    </row>
    <row r="38" spans="1:31" ht="22.5" thickBot="1">
      <c r="A38" s="247" t="s">
        <v>211</v>
      </c>
      <c r="B38" s="237">
        <f>B37+B32</f>
        <v>1541400.74</v>
      </c>
      <c r="C38" s="237">
        <f>C37+C32</f>
        <v>529987.75</v>
      </c>
      <c r="D38" s="237"/>
      <c r="E38" s="237"/>
      <c r="F38" s="237"/>
      <c r="G38" s="237"/>
      <c r="H38" s="237">
        <f>H37+H32</f>
        <v>597784.66</v>
      </c>
      <c r="I38" s="492">
        <f>I37+I32</f>
        <v>71630</v>
      </c>
      <c r="J38" s="492"/>
      <c r="K38" s="492"/>
      <c r="L38" s="492"/>
      <c r="M38" s="492"/>
      <c r="N38" s="492"/>
      <c r="O38" s="492"/>
      <c r="P38" s="492">
        <f>P37+P32</f>
        <v>156730</v>
      </c>
      <c r="Q38" s="464">
        <f>Q37+Q32</f>
        <v>0</v>
      </c>
      <c r="R38" s="237">
        <f>R37+R32</f>
        <v>443900</v>
      </c>
      <c r="S38" s="237"/>
      <c r="T38" s="237">
        <f>T37+T32</f>
        <v>374602</v>
      </c>
      <c r="U38" s="237"/>
      <c r="V38" s="237">
        <f>V37+V32</f>
        <v>29585</v>
      </c>
      <c r="W38" s="492">
        <f>W37+W32</f>
        <v>221629</v>
      </c>
      <c r="X38" s="492">
        <f>X37+X32</f>
        <v>0</v>
      </c>
      <c r="Y38" s="492">
        <f>Y37+Y32</f>
        <v>4900</v>
      </c>
      <c r="Z38" s="492">
        <f>Z37+Z32</f>
        <v>1620</v>
      </c>
      <c r="AA38" s="237"/>
      <c r="AB38" s="237"/>
      <c r="AC38" s="329">
        <f>AC37+AC32</f>
        <v>3769890.85</v>
      </c>
      <c r="AD38" s="41">
        <f>AC38-(งบทดลอง1!F23+งบทดลอง1!F24)</f>
        <v>0</v>
      </c>
      <c r="AE38" s="41"/>
    </row>
    <row r="39" spans="1:30" ht="21.75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330"/>
      <c r="AD39" s="41"/>
    </row>
    <row r="40" spans="1:30" ht="21.75">
      <c r="A40" s="266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330"/>
      <c r="AD40" s="41"/>
    </row>
    <row r="41" spans="1:30" ht="21.75">
      <c r="A41" s="266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330"/>
      <c r="AD41" s="41"/>
    </row>
    <row r="42" spans="1:29" ht="21.75">
      <c r="A42" s="677" t="s">
        <v>225</v>
      </c>
      <c r="B42" s="677"/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</row>
    <row r="43" spans="1:29" ht="21.75">
      <c r="A43" s="216" t="s">
        <v>182</v>
      </c>
      <c r="B43" s="671" t="s">
        <v>183</v>
      </c>
      <c r="C43" s="672"/>
      <c r="D43" s="669"/>
      <c r="E43" s="673" t="s">
        <v>571</v>
      </c>
      <c r="F43" s="674"/>
      <c r="G43" s="540"/>
      <c r="H43" s="673" t="s">
        <v>184</v>
      </c>
      <c r="I43" s="674"/>
      <c r="J43" s="669"/>
      <c r="K43" s="673" t="s">
        <v>185</v>
      </c>
      <c r="L43" s="674"/>
      <c r="M43" s="218"/>
      <c r="N43" s="219" t="s">
        <v>186</v>
      </c>
      <c r="O43" s="220"/>
      <c r="P43" s="673" t="s">
        <v>187</v>
      </c>
      <c r="Q43" s="676"/>
      <c r="R43" s="674"/>
      <c r="S43" s="669"/>
      <c r="T43" s="217" t="s">
        <v>188</v>
      </c>
      <c r="U43" s="221"/>
      <c r="V43" s="671" t="s">
        <v>189</v>
      </c>
      <c r="W43" s="672"/>
      <c r="X43" s="669"/>
      <c r="Y43" s="673" t="s">
        <v>274</v>
      </c>
      <c r="Z43" s="674"/>
      <c r="AA43" s="217"/>
      <c r="AB43" s="222" t="s">
        <v>190</v>
      </c>
      <c r="AC43" s="678" t="s">
        <v>84</v>
      </c>
    </row>
    <row r="44" spans="1:29" ht="21.75">
      <c r="A44" s="223" t="s">
        <v>191</v>
      </c>
      <c r="B44" s="224" t="s">
        <v>192</v>
      </c>
      <c r="C44" s="224" t="s">
        <v>193</v>
      </c>
      <c r="D44" s="670"/>
      <c r="E44" s="217" t="s">
        <v>572</v>
      </c>
      <c r="F44" s="217" t="s">
        <v>573</v>
      </c>
      <c r="G44" s="217"/>
      <c r="H44" s="217" t="s">
        <v>194</v>
      </c>
      <c r="I44" s="217" t="s">
        <v>195</v>
      </c>
      <c r="J44" s="670"/>
      <c r="K44" s="217" t="s">
        <v>196</v>
      </c>
      <c r="L44" s="217" t="s">
        <v>197</v>
      </c>
      <c r="M44" s="226"/>
      <c r="N44" s="219" t="s">
        <v>198</v>
      </c>
      <c r="O44" s="224"/>
      <c r="P44" s="227" t="s">
        <v>199</v>
      </c>
      <c r="Q44" s="227" t="s">
        <v>200</v>
      </c>
      <c r="R44" s="227" t="s">
        <v>201</v>
      </c>
      <c r="S44" s="670"/>
      <c r="T44" s="227" t="s">
        <v>202</v>
      </c>
      <c r="U44" s="224"/>
      <c r="V44" s="227" t="s">
        <v>203</v>
      </c>
      <c r="W44" s="227" t="s">
        <v>204</v>
      </c>
      <c r="X44" s="670"/>
      <c r="Y44" s="222" t="s">
        <v>372</v>
      </c>
      <c r="Z44" s="225" t="s">
        <v>275</v>
      </c>
      <c r="AA44" s="225"/>
      <c r="AB44" s="228" t="s">
        <v>205</v>
      </c>
      <c r="AC44" s="679"/>
    </row>
    <row r="45" spans="1:29" ht="21.75">
      <c r="A45" s="229" t="s">
        <v>267</v>
      </c>
      <c r="B45" s="317">
        <v>282337.31</v>
      </c>
      <c r="C45" s="317">
        <v>43547.8</v>
      </c>
      <c r="D45" s="231"/>
      <c r="E45" s="231"/>
      <c r="F45" s="231"/>
      <c r="G45" s="231"/>
      <c r="H45" s="317">
        <v>9794</v>
      </c>
      <c r="I45" s="317">
        <v>469291.81</v>
      </c>
      <c r="J45" s="231"/>
      <c r="K45" s="317">
        <v>7441.14</v>
      </c>
      <c r="L45" s="317">
        <v>0</v>
      </c>
      <c r="M45" s="231"/>
      <c r="N45" s="317">
        <v>0</v>
      </c>
      <c r="O45" s="242"/>
      <c r="P45" s="317">
        <v>131296</v>
      </c>
      <c r="Q45" s="317">
        <v>0</v>
      </c>
      <c r="R45" s="317">
        <v>29965</v>
      </c>
      <c r="S45" s="231"/>
      <c r="T45" s="317">
        <v>0</v>
      </c>
      <c r="U45" s="231"/>
      <c r="V45" s="317">
        <v>8038</v>
      </c>
      <c r="W45" s="317">
        <v>0</v>
      </c>
      <c r="X45" s="231"/>
      <c r="Y45" s="317">
        <v>0</v>
      </c>
      <c r="Z45" s="317">
        <v>0</v>
      </c>
      <c r="AA45" s="231"/>
      <c r="AB45" s="317">
        <v>0</v>
      </c>
      <c r="AC45" s="322">
        <v>1004301.26</v>
      </c>
    </row>
    <row r="46" spans="1:29" ht="21.75">
      <c r="A46" s="229" t="s">
        <v>226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42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322" t="s">
        <v>116</v>
      </c>
    </row>
    <row r="47" spans="1:29" ht="21.75">
      <c r="A47" s="229" t="s">
        <v>227</v>
      </c>
      <c r="B47" s="412">
        <f>12269+6610</f>
        <v>18879</v>
      </c>
      <c r="C47" s="412">
        <v>6244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322">
        <f>B47+C47+H47+K47+L47+N47+P47+Q47+R47+T47+Y47+V47+W47+Z47+AB47</f>
        <v>25123</v>
      </c>
    </row>
    <row r="48" spans="1:29" ht="21.75">
      <c r="A48" s="229" t="s">
        <v>228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>
        <v>20204.81</v>
      </c>
      <c r="Q48" s="414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322">
        <f aca="true" t="shared" si="0" ref="AC48:AC61">B48+C48+H48+K48+L48+N48+P48+Q48+R48+T48+Y48+V48+W48+Z48+AB48</f>
        <v>20204.81</v>
      </c>
    </row>
    <row r="49" spans="1:29" ht="21.75">
      <c r="A49" s="229" t="s">
        <v>229</v>
      </c>
      <c r="B49" s="415">
        <v>18340</v>
      </c>
      <c r="C49" s="415"/>
      <c r="D49" s="415"/>
      <c r="E49" s="415">
        <v>15634</v>
      </c>
      <c r="F49" s="415"/>
      <c r="G49" s="415"/>
      <c r="H49" s="412"/>
      <c r="I49" s="415"/>
      <c r="J49" s="415"/>
      <c r="K49" s="415"/>
      <c r="L49" s="415"/>
      <c r="M49" s="415"/>
      <c r="N49" s="415"/>
      <c r="O49" s="415"/>
      <c r="P49" s="415"/>
      <c r="Q49" s="416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322">
        <f>B49+C49+E49+H49+K49+L49+N49+P49+Q49+R49+T49+Y49+V49+W49+Z49+AB49</f>
        <v>33974</v>
      </c>
    </row>
    <row r="50" spans="1:29" ht="21.75">
      <c r="A50" s="229" t="s">
        <v>230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4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322">
        <f t="shared" si="0"/>
        <v>0</v>
      </c>
    </row>
    <row r="51" spans="1:29" ht="21.75">
      <c r="A51" s="229" t="s">
        <v>280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4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322">
        <f t="shared" si="0"/>
        <v>0</v>
      </c>
    </row>
    <row r="52" spans="1:29" ht="21.75">
      <c r="A52" s="229" t="s">
        <v>231</v>
      </c>
      <c r="B52" s="412">
        <v>25347.18</v>
      </c>
      <c r="C52" s="412"/>
      <c r="D52" s="412"/>
      <c r="E52" s="412"/>
      <c r="F52" s="412"/>
      <c r="G52" s="412"/>
      <c r="H52" s="412"/>
      <c r="I52" s="412"/>
      <c r="J52" s="412"/>
      <c r="K52" s="412">
        <v>972.1</v>
      </c>
      <c r="L52" s="412"/>
      <c r="M52" s="412"/>
      <c r="N52" s="412"/>
      <c r="O52" s="412"/>
      <c r="P52" s="412"/>
      <c r="Q52" s="414"/>
      <c r="R52" s="412">
        <v>7895.97</v>
      </c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322">
        <f t="shared" si="0"/>
        <v>34215.25</v>
      </c>
    </row>
    <row r="53" spans="1:29" ht="21.75">
      <c r="A53" s="229" t="s">
        <v>232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4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322">
        <f t="shared" si="0"/>
        <v>0</v>
      </c>
    </row>
    <row r="54" spans="1:29" ht="21.75">
      <c r="A54" s="229" t="s">
        <v>233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4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322">
        <f t="shared" si="0"/>
        <v>0</v>
      </c>
    </row>
    <row r="55" spans="1:29" ht="21.75">
      <c r="A55" s="229" t="s">
        <v>234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4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322">
        <f t="shared" si="0"/>
        <v>0</v>
      </c>
    </row>
    <row r="56" spans="1:29" ht="21.75">
      <c r="A56" s="229" t="s">
        <v>235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4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322">
        <f t="shared" si="0"/>
        <v>0</v>
      </c>
    </row>
    <row r="57" spans="1:29" ht="21.75">
      <c r="A57" s="229" t="s">
        <v>236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4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322">
        <f t="shared" si="0"/>
        <v>0</v>
      </c>
    </row>
    <row r="58" spans="1:29" ht="21.75">
      <c r="A58" s="229" t="s">
        <v>237</v>
      </c>
      <c r="B58" s="412">
        <v>20130</v>
      </c>
      <c r="C58" s="412">
        <v>11135</v>
      </c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4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322">
        <f t="shared" si="0"/>
        <v>31265</v>
      </c>
    </row>
    <row r="59" spans="1:29" ht="21.75">
      <c r="A59" s="277" t="s">
        <v>282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4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322">
        <f t="shared" si="0"/>
        <v>0</v>
      </c>
    </row>
    <row r="60" spans="1:29" ht="21.75">
      <c r="A60" s="229" t="s">
        <v>283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4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322">
        <f t="shared" si="0"/>
        <v>0</v>
      </c>
    </row>
    <row r="61" spans="1:29" ht="21.75">
      <c r="A61" s="550" t="s">
        <v>521</v>
      </c>
      <c r="B61" s="412"/>
      <c r="C61" s="412"/>
      <c r="D61" s="412"/>
      <c r="E61" s="412"/>
      <c r="F61" s="412"/>
      <c r="G61" s="412"/>
      <c r="H61" s="412"/>
      <c r="I61" s="412">
        <f>3248.7+23053.03</f>
        <v>26301.73</v>
      </c>
      <c r="J61" s="412"/>
      <c r="K61" s="412"/>
      <c r="L61" s="412"/>
      <c r="M61" s="412"/>
      <c r="N61" s="412"/>
      <c r="O61" s="412"/>
      <c r="P61" s="412"/>
      <c r="Q61" s="414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322">
        <f t="shared" si="0"/>
        <v>0</v>
      </c>
    </row>
    <row r="62" spans="1:30" ht="22.5" thickBot="1">
      <c r="A62" s="236" t="s">
        <v>210</v>
      </c>
      <c r="B62" s="494">
        <f>SUM(B46:B61)</f>
        <v>82696.18</v>
      </c>
      <c r="C62" s="494">
        <f>SUM(C46:C61)</f>
        <v>17379</v>
      </c>
      <c r="D62" s="494"/>
      <c r="E62" s="494">
        <f>SUM(E46:E61)</f>
        <v>15634</v>
      </c>
      <c r="F62" s="494"/>
      <c r="G62" s="494"/>
      <c r="H62" s="494">
        <f>SUM(H46:H61)</f>
        <v>0</v>
      </c>
      <c r="I62" s="494">
        <f>SUM(I46:I61)</f>
        <v>26301.73</v>
      </c>
      <c r="J62" s="494"/>
      <c r="K62" s="494">
        <f>SUM(K46:K61)</f>
        <v>972.1</v>
      </c>
      <c r="L62" s="494"/>
      <c r="M62" s="494"/>
      <c r="N62" s="494"/>
      <c r="O62" s="494"/>
      <c r="P62" s="494">
        <f>SUM(P46:P61)</f>
        <v>20204.81</v>
      </c>
      <c r="Q62" s="494"/>
      <c r="R62" s="494">
        <f>SUM(R46:R61)</f>
        <v>7895.97</v>
      </c>
      <c r="S62" s="494"/>
      <c r="T62" s="494"/>
      <c r="U62" s="494"/>
      <c r="V62" s="494">
        <f>SUM(V46:V61)</f>
        <v>0</v>
      </c>
      <c r="W62" s="494"/>
      <c r="X62" s="494"/>
      <c r="Y62" s="494"/>
      <c r="Z62" s="494"/>
      <c r="AA62" s="494"/>
      <c r="AB62" s="494"/>
      <c r="AC62" s="413">
        <f>B62+C62+E62+H62+I62+K62+L62+N62+P62+Q62+R62+T62+V62+W62+Y62+Z62+AB62</f>
        <v>171083.79</v>
      </c>
      <c r="AD62" s="41"/>
    </row>
    <row r="63" spans="1:30" ht="22.5" thickBot="1">
      <c r="A63" s="241" t="s">
        <v>211</v>
      </c>
      <c r="B63" s="495">
        <f>B45+B62</f>
        <v>365033.49</v>
      </c>
      <c r="C63" s="495">
        <f>C45+C62</f>
        <v>60926.8</v>
      </c>
      <c r="D63" s="495"/>
      <c r="E63" s="495">
        <f>E45+E62</f>
        <v>15634</v>
      </c>
      <c r="F63" s="495"/>
      <c r="G63" s="495"/>
      <c r="H63" s="495">
        <f>H45+H62</f>
        <v>9794</v>
      </c>
      <c r="I63" s="495">
        <f>I45+I62</f>
        <v>495593.54</v>
      </c>
      <c r="J63" s="495"/>
      <c r="K63" s="495">
        <f>K45+K62</f>
        <v>8413.24</v>
      </c>
      <c r="L63" s="495"/>
      <c r="M63" s="495"/>
      <c r="N63" s="495"/>
      <c r="O63" s="495"/>
      <c r="P63" s="495">
        <f>P45+P62</f>
        <v>151500.81</v>
      </c>
      <c r="Q63" s="495"/>
      <c r="R63" s="495">
        <f>R45+R62</f>
        <v>37860.97</v>
      </c>
      <c r="S63" s="495"/>
      <c r="T63" s="495"/>
      <c r="U63" s="495"/>
      <c r="V63" s="495">
        <f>V45+V62</f>
        <v>8038</v>
      </c>
      <c r="W63" s="417" t="s">
        <v>116</v>
      </c>
      <c r="X63" s="417"/>
      <c r="Y63" s="417"/>
      <c r="Z63" s="417"/>
      <c r="AA63" s="417"/>
      <c r="AB63" s="417"/>
      <c r="AC63" s="418">
        <f>AC62+AC45</f>
        <v>1175385.05</v>
      </c>
      <c r="AD63" s="41">
        <f>AC63-(งบทดลอง1!F25+งบทดลอง1!F26)</f>
        <v>0</v>
      </c>
    </row>
    <row r="64" spans="1:29" ht="21.75">
      <c r="A64" s="229" t="s">
        <v>268</v>
      </c>
      <c r="B64" s="242">
        <v>363170.6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331">
        <v>363170.6</v>
      </c>
    </row>
    <row r="65" spans="1:29" ht="21.75">
      <c r="A65" s="252" t="s">
        <v>238</v>
      </c>
      <c r="B65" s="231">
        <f>9556.92+31639.52</f>
        <v>41196.44</v>
      </c>
      <c r="C65" s="243" t="s">
        <v>116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33"/>
      <c r="U65" s="243"/>
      <c r="V65" s="243"/>
      <c r="W65" s="243"/>
      <c r="X65" s="243"/>
      <c r="Y65" s="243"/>
      <c r="Z65" s="243"/>
      <c r="AA65" s="243"/>
      <c r="AB65" s="243"/>
      <c r="AC65" s="323">
        <f>B65+AD65</f>
        <v>41196.44</v>
      </c>
    </row>
    <row r="66" spans="1:29" ht="21.75">
      <c r="A66" s="229" t="s">
        <v>239</v>
      </c>
      <c r="B66" s="231">
        <v>12067.36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323">
        <f>B66+C66+H66+I66+K66+L66+N66+P66+Q66+R66+T66+Y66+Z66+V66+W66+AB66</f>
        <v>12067.36</v>
      </c>
    </row>
    <row r="67" spans="1:29" ht="21.75">
      <c r="A67" s="229" t="s">
        <v>240</v>
      </c>
      <c r="B67" s="231">
        <v>4062.79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323">
        <f>B67+C67+H67+I67+K67+L67+N67+P67+Q67+R67+T67+Y67+Z67+V67+W67+AB67</f>
        <v>4062.79</v>
      </c>
    </row>
    <row r="68" spans="1:29" ht="21.75">
      <c r="A68" s="229" t="s">
        <v>241</v>
      </c>
      <c r="B68" s="231">
        <v>1967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322">
        <f>B68+C68+H68+I68+K68+L68+N68+P68+Q68+R68+T68+Y68+Z68+V68+W68+AB68</f>
        <v>1967</v>
      </c>
    </row>
    <row r="69" spans="1:29" ht="22.5" thickBot="1">
      <c r="A69" s="229" t="s">
        <v>543</v>
      </c>
      <c r="B69" s="231">
        <v>11994.7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551">
        <f>B69+C69+H69+I69+K69+L69+N69+P69+Q69+R69+T69+Y69+Z69+V69+W69+AB69</f>
        <v>11994.7</v>
      </c>
    </row>
    <row r="70" spans="1:29" ht="22.5" thickBot="1">
      <c r="A70" s="236" t="s">
        <v>210</v>
      </c>
      <c r="B70" s="240">
        <f>SUM(B65:B69)</f>
        <v>71288.29000000001</v>
      </c>
      <c r="C70" s="240"/>
      <c r="D70" s="237"/>
      <c r="E70" s="237"/>
      <c r="F70" s="237"/>
      <c r="G70" s="237"/>
      <c r="H70" s="237"/>
      <c r="I70" s="237"/>
      <c r="J70" s="237"/>
      <c r="K70" s="237"/>
      <c r="L70" s="240"/>
      <c r="M70" s="240"/>
      <c r="N70" s="237"/>
      <c r="O70" s="237"/>
      <c r="P70" s="237"/>
      <c r="Q70" s="237"/>
      <c r="R70" s="237"/>
      <c r="S70" s="237"/>
      <c r="T70" s="240"/>
      <c r="U70" s="240"/>
      <c r="V70" s="237"/>
      <c r="W70" s="237"/>
      <c r="X70" s="237"/>
      <c r="Y70" s="237"/>
      <c r="Z70" s="237"/>
      <c r="AA70" s="237"/>
      <c r="AB70" s="237"/>
      <c r="AC70" s="335">
        <f>B70+C70+H70+I70+K70+L70+N70+P70+Q70+R70+T70+Y70+Z70+V70+W70+AB70</f>
        <v>71288.29000000001</v>
      </c>
    </row>
    <row r="71" spans="1:30" ht="22.5" thickBot="1">
      <c r="A71" s="241" t="s">
        <v>211</v>
      </c>
      <c r="B71" s="237">
        <f>B64+B70</f>
        <v>434458.89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329">
        <f>AC64+AC70</f>
        <v>434458.89</v>
      </c>
      <c r="AD71" s="41">
        <f>AC71-(งบทดลอง1!F27+งบทดลอง1!F28)</f>
        <v>0</v>
      </c>
    </row>
    <row r="72" spans="1:29" ht="21.75">
      <c r="A72" s="229" t="s">
        <v>271</v>
      </c>
      <c r="B72" s="242">
        <v>922635</v>
      </c>
      <c r="C72" s="242"/>
      <c r="D72" s="242"/>
      <c r="E72" s="242"/>
      <c r="F72" s="242"/>
      <c r="G72" s="242"/>
      <c r="H72" s="242">
        <v>1206400</v>
      </c>
      <c r="I72" s="466">
        <v>0</v>
      </c>
      <c r="J72" s="242"/>
      <c r="K72" s="242">
        <v>40000</v>
      </c>
      <c r="L72" s="466">
        <v>0</v>
      </c>
      <c r="M72" s="242"/>
      <c r="N72" s="242" t="s">
        <v>116</v>
      </c>
      <c r="O72" s="242"/>
      <c r="P72" s="242"/>
      <c r="Q72" s="466">
        <v>0</v>
      </c>
      <c r="R72" s="466">
        <v>0</v>
      </c>
      <c r="S72" s="242"/>
      <c r="T72" s="468">
        <v>0</v>
      </c>
      <c r="U72" s="242"/>
      <c r="V72" s="466">
        <v>0</v>
      </c>
      <c r="W72" s="242">
        <v>65000</v>
      </c>
      <c r="X72" s="242"/>
      <c r="Y72" s="242"/>
      <c r="Z72" s="242" t="s">
        <v>116</v>
      </c>
      <c r="AA72" s="242"/>
      <c r="AB72" s="242"/>
      <c r="AC72" s="331">
        <v>2234035</v>
      </c>
    </row>
    <row r="73" spans="1:29" ht="21.75">
      <c r="A73" s="229" t="s">
        <v>242</v>
      </c>
      <c r="B73" s="242"/>
      <c r="C73" s="242"/>
      <c r="D73" s="242"/>
      <c r="E73" s="242"/>
      <c r="F73" s="242"/>
      <c r="G73" s="242"/>
      <c r="H73" s="242"/>
      <c r="I73" s="466"/>
      <c r="J73" s="242"/>
      <c r="K73" s="242"/>
      <c r="L73" s="466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331">
        <f>+B73+C73+H73</f>
        <v>0</v>
      </c>
    </row>
    <row r="74" spans="1:29" ht="21.75">
      <c r="A74" s="229" t="s">
        <v>243</v>
      </c>
      <c r="B74" s="231"/>
      <c r="C74" s="231"/>
      <c r="D74" s="231"/>
      <c r="E74" s="231"/>
      <c r="F74" s="231"/>
      <c r="G74" s="231"/>
      <c r="H74" s="231"/>
      <c r="I74" s="467"/>
      <c r="J74" s="231"/>
      <c r="K74" s="231">
        <v>50000</v>
      </c>
      <c r="L74" s="467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331">
        <f>+B74+C74+E74+F74+H74+I74+K74</f>
        <v>50000</v>
      </c>
    </row>
    <row r="75" spans="1:29" ht="22.5" thickBot="1">
      <c r="A75" s="229" t="s">
        <v>244</v>
      </c>
      <c r="B75" s="231"/>
      <c r="C75" s="231"/>
      <c r="D75" s="231"/>
      <c r="E75" s="231"/>
      <c r="F75" s="231"/>
      <c r="G75" s="231"/>
      <c r="H75" s="231"/>
      <c r="I75" s="467"/>
      <c r="J75" s="231"/>
      <c r="K75" s="231"/>
      <c r="L75" s="467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331">
        <f>+B75+C75+E75+F75+H75+I75+K75</f>
        <v>0</v>
      </c>
    </row>
    <row r="76" spans="1:29" ht="22.5" thickBot="1">
      <c r="A76" s="236" t="s">
        <v>210</v>
      </c>
      <c r="B76" s="240">
        <f>+B73+B74</f>
        <v>0</v>
      </c>
      <c r="C76" s="240"/>
      <c r="D76" s="237"/>
      <c r="E76" s="237"/>
      <c r="F76" s="237"/>
      <c r="G76" s="237"/>
      <c r="H76" s="240">
        <f>+H74</f>
        <v>0</v>
      </c>
      <c r="I76" s="240"/>
      <c r="J76" s="240"/>
      <c r="K76" s="240">
        <f>+K74</f>
        <v>50000</v>
      </c>
      <c r="L76" s="464">
        <f>L74</f>
        <v>0</v>
      </c>
      <c r="M76" s="237"/>
      <c r="N76" s="464">
        <f>N74</f>
        <v>0</v>
      </c>
      <c r="O76" s="237"/>
      <c r="P76" s="237"/>
      <c r="Q76" s="464">
        <f>Q74</f>
        <v>0</v>
      </c>
      <c r="R76" s="237">
        <f>R74</f>
        <v>0</v>
      </c>
      <c r="S76" s="237"/>
      <c r="T76" s="463">
        <f>T74</f>
        <v>0</v>
      </c>
      <c r="U76" s="240"/>
      <c r="V76" s="463">
        <f>V74+V73</f>
        <v>0</v>
      </c>
      <c r="W76" s="240">
        <f>W74+W73</f>
        <v>0</v>
      </c>
      <c r="X76" s="237"/>
      <c r="Y76" s="237"/>
      <c r="Z76" s="237" t="s">
        <v>116</v>
      </c>
      <c r="AA76" s="237"/>
      <c r="AB76" s="237"/>
      <c r="AC76" s="331">
        <f>+B76+C76+E76+F76+H76+I76+K76</f>
        <v>50000</v>
      </c>
    </row>
    <row r="77" spans="1:30" ht="22.5" thickBot="1">
      <c r="A77" s="241" t="s">
        <v>211</v>
      </c>
      <c r="B77" s="237">
        <f>+B76+B72</f>
        <v>922635</v>
      </c>
      <c r="C77" s="237"/>
      <c r="D77" s="237"/>
      <c r="E77" s="237"/>
      <c r="F77" s="237"/>
      <c r="G77" s="237"/>
      <c r="H77" s="237">
        <f>+H76+H72</f>
        <v>1206400</v>
      </c>
      <c r="I77" s="237"/>
      <c r="J77" s="237"/>
      <c r="K77" s="237">
        <f>+K76+K72</f>
        <v>90000</v>
      </c>
      <c r="L77" s="465">
        <f>L76+L72</f>
        <v>0</v>
      </c>
      <c r="M77" s="237"/>
      <c r="N77" s="464">
        <f>N76</f>
        <v>0</v>
      </c>
      <c r="O77" s="237"/>
      <c r="P77" s="237"/>
      <c r="Q77" s="464">
        <f>Q76+Q72</f>
        <v>0</v>
      </c>
      <c r="R77" s="237">
        <f>R76+R72</f>
        <v>0</v>
      </c>
      <c r="S77" s="237"/>
      <c r="T77" s="464">
        <f>T72+T76</f>
        <v>0</v>
      </c>
      <c r="U77" s="237"/>
      <c r="V77" s="464">
        <f>V76+V72</f>
        <v>0</v>
      </c>
      <c r="W77" s="237">
        <f>W76+W72</f>
        <v>65000</v>
      </c>
      <c r="X77" s="237"/>
      <c r="Y77" s="237"/>
      <c r="Z77" s="237" t="s">
        <v>116</v>
      </c>
      <c r="AA77" s="237"/>
      <c r="AB77" s="237"/>
      <c r="AC77" s="329">
        <f>AC76+AC72+AC73</f>
        <v>2284035</v>
      </c>
      <c r="AD77" s="41">
        <f>AC77-(งบทดลอง1!F30+งบทดลอง1!F29)</f>
        <v>0</v>
      </c>
    </row>
    <row r="78" spans="1:29" ht="21.75">
      <c r="A78" s="254"/>
      <c r="B78" s="255"/>
      <c r="C78" s="307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332"/>
    </row>
    <row r="79" spans="1:29" ht="31.5" customHeight="1">
      <c r="A79" s="256"/>
      <c r="B79" s="257"/>
      <c r="C79" s="308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333"/>
    </row>
    <row r="80" spans="1:29" ht="31.5" customHeight="1">
      <c r="A80" s="256"/>
      <c r="B80" s="257"/>
      <c r="C80" s="308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333"/>
    </row>
    <row r="81" spans="1:29" ht="31.5" customHeight="1">
      <c r="A81" s="256"/>
      <c r="B81" s="257"/>
      <c r="C81" s="308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333"/>
    </row>
    <row r="82" spans="1:29" ht="21.75">
      <c r="A82" s="677" t="s">
        <v>245</v>
      </c>
      <c r="B82" s="677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</row>
    <row r="83" spans="1:29" ht="21.75">
      <c r="A83" s="216" t="s">
        <v>182</v>
      </c>
      <c r="B83" s="671" t="s">
        <v>183</v>
      </c>
      <c r="C83" s="672"/>
      <c r="D83" s="669"/>
      <c r="E83" s="673" t="s">
        <v>571</v>
      </c>
      <c r="F83" s="674"/>
      <c r="G83" s="541"/>
      <c r="H83" s="673" t="s">
        <v>184</v>
      </c>
      <c r="I83" s="674"/>
      <c r="J83" s="669"/>
      <c r="K83" s="673" t="s">
        <v>185</v>
      </c>
      <c r="L83" s="674"/>
      <c r="M83" s="217"/>
      <c r="N83" s="219" t="s">
        <v>186</v>
      </c>
      <c r="O83" s="220"/>
      <c r="P83" s="673" t="s">
        <v>187</v>
      </c>
      <c r="Q83" s="676"/>
      <c r="R83" s="674"/>
      <c r="S83" s="669"/>
      <c r="T83" s="217" t="s">
        <v>188</v>
      </c>
      <c r="U83" s="221"/>
      <c r="V83" s="675" t="s">
        <v>189</v>
      </c>
      <c r="W83" s="672"/>
      <c r="X83" s="669"/>
      <c r="Y83" s="673" t="s">
        <v>274</v>
      </c>
      <c r="Z83" s="674"/>
      <c r="AA83" s="217"/>
      <c r="AB83" s="222" t="s">
        <v>190</v>
      </c>
      <c r="AC83" s="680" t="s">
        <v>84</v>
      </c>
    </row>
    <row r="84" spans="1:29" ht="21.75">
      <c r="A84" s="223" t="s">
        <v>191</v>
      </c>
      <c r="B84" s="224" t="s">
        <v>192</v>
      </c>
      <c r="C84" s="224" t="s">
        <v>193</v>
      </c>
      <c r="D84" s="670"/>
      <c r="E84" s="217" t="s">
        <v>572</v>
      </c>
      <c r="F84" s="217" t="s">
        <v>573</v>
      </c>
      <c r="G84" s="226"/>
      <c r="H84" s="217" t="s">
        <v>194</v>
      </c>
      <c r="I84" s="217" t="s">
        <v>195</v>
      </c>
      <c r="J84" s="670"/>
      <c r="K84" s="217" t="s">
        <v>196</v>
      </c>
      <c r="L84" s="217" t="s">
        <v>197</v>
      </c>
      <c r="M84" s="225"/>
      <c r="N84" s="219" t="s">
        <v>198</v>
      </c>
      <c r="O84" s="224"/>
      <c r="P84" s="227" t="s">
        <v>199</v>
      </c>
      <c r="Q84" s="227" t="s">
        <v>200</v>
      </c>
      <c r="R84" s="227" t="s">
        <v>201</v>
      </c>
      <c r="S84" s="670"/>
      <c r="T84" s="227" t="s">
        <v>202</v>
      </c>
      <c r="U84" s="224"/>
      <c r="V84" s="227" t="s">
        <v>203</v>
      </c>
      <c r="W84" s="227" t="s">
        <v>204</v>
      </c>
      <c r="X84" s="670"/>
      <c r="Y84" s="222" t="s">
        <v>372</v>
      </c>
      <c r="Z84" s="225" t="s">
        <v>275</v>
      </c>
      <c r="AA84" s="225"/>
      <c r="AB84" s="228" t="s">
        <v>205</v>
      </c>
      <c r="AC84" s="681"/>
    </row>
    <row r="85" spans="1:29" ht="21.75">
      <c r="A85" s="229" t="s">
        <v>246</v>
      </c>
      <c r="B85" s="242">
        <v>195290</v>
      </c>
      <c r="C85" s="242">
        <v>35500</v>
      </c>
      <c r="D85" s="258"/>
      <c r="E85" s="260"/>
      <c r="F85" s="260">
        <v>16050</v>
      </c>
      <c r="G85" s="260"/>
      <c r="H85" s="249" t="s">
        <v>116</v>
      </c>
      <c r="I85" s="249"/>
      <c r="J85" s="259"/>
      <c r="K85" s="249" t="s">
        <v>116</v>
      </c>
      <c r="L85" s="249"/>
      <c r="M85" s="248"/>
      <c r="N85" s="231"/>
      <c r="O85" s="242"/>
      <c r="P85" s="339"/>
      <c r="Q85" s="260"/>
      <c r="R85" s="260"/>
      <c r="S85" s="259"/>
      <c r="T85" s="260"/>
      <c r="U85" s="242"/>
      <c r="V85" s="260">
        <v>69800</v>
      </c>
      <c r="W85" s="260"/>
      <c r="X85" s="258"/>
      <c r="Y85" s="258"/>
      <c r="Z85" s="258"/>
      <c r="AA85" s="258"/>
      <c r="AB85" s="258"/>
      <c r="AC85" s="341">
        <v>316640</v>
      </c>
    </row>
    <row r="86" spans="1:29" ht="21.75">
      <c r="A86" s="229" t="s">
        <v>247</v>
      </c>
      <c r="B86" s="242"/>
      <c r="C86" s="552" t="s">
        <v>305</v>
      </c>
      <c r="D86" s="553"/>
      <c r="E86" s="554"/>
      <c r="F86" s="554"/>
      <c r="G86" s="554"/>
      <c r="H86" s="555"/>
      <c r="I86" s="555"/>
      <c r="J86" s="556"/>
      <c r="K86" s="555"/>
      <c r="L86" s="555"/>
      <c r="M86" s="556"/>
      <c r="N86" s="557"/>
      <c r="O86" s="552"/>
      <c r="P86" s="554" t="s">
        <v>116</v>
      </c>
      <c r="Q86" s="554"/>
      <c r="R86" s="554"/>
      <c r="S86" s="556"/>
      <c r="T86" s="554"/>
      <c r="U86" s="552"/>
      <c r="V86" s="554"/>
      <c r="W86" s="554"/>
      <c r="X86" s="553"/>
      <c r="Y86" s="553"/>
      <c r="Z86" s="553"/>
      <c r="AA86" s="553"/>
      <c r="AB86" s="553"/>
      <c r="AC86" s="334">
        <f>+B86</f>
        <v>0</v>
      </c>
    </row>
    <row r="87" spans="1:29" ht="21.75">
      <c r="A87" s="229" t="s">
        <v>248</v>
      </c>
      <c r="B87" s="242"/>
      <c r="C87" s="242"/>
      <c r="D87" s="258"/>
      <c r="E87" s="260"/>
      <c r="F87" s="260"/>
      <c r="G87" s="260"/>
      <c r="H87" s="249"/>
      <c r="I87" s="249"/>
      <c r="J87" s="259"/>
      <c r="K87" s="249"/>
      <c r="L87" s="249"/>
      <c r="M87" s="259"/>
      <c r="N87" s="231"/>
      <c r="O87" s="242"/>
      <c r="P87" s="260"/>
      <c r="Q87" s="260"/>
      <c r="R87" s="260"/>
      <c r="S87" s="259"/>
      <c r="T87" s="260"/>
      <c r="U87" s="242"/>
      <c r="V87" s="260"/>
      <c r="W87" s="260"/>
      <c r="X87" s="258"/>
      <c r="Y87" s="258"/>
      <c r="Z87" s="258"/>
      <c r="AA87" s="258"/>
      <c r="AB87" s="258"/>
      <c r="AC87" s="334">
        <f>+C88</f>
        <v>0</v>
      </c>
    </row>
    <row r="88" spans="1:29" ht="21.75">
      <c r="A88" s="229" t="s">
        <v>249</v>
      </c>
      <c r="B88" s="242">
        <v>711000</v>
      </c>
      <c r="C88" s="242"/>
      <c r="D88" s="258"/>
      <c r="E88" s="260"/>
      <c r="F88" s="260"/>
      <c r="G88" s="260"/>
      <c r="H88" s="249"/>
      <c r="I88" s="249"/>
      <c r="J88" s="259"/>
      <c r="K88" s="249"/>
      <c r="L88" s="249"/>
      <c r="M88" s="259"/>
      <c r="N88" s="231"/>
      <c r="O88" s="242"/>
      <c r="P88" s="260"/>
      <c r="Q88" s="260"/>
      <c r="R88" s="260"/>
      <c r="S88" s="259"/>
      <c r="T88" s="260"/>
      <c r="U88" s="242"/>
      <c r="V88" s="260"/>
      <c r="W88" s="260"/>
      <c r="X88" s="258"/>
      <c r="Y88" s="258"/>
      <c r="Z88" s="258"/>
      <c r="AA88" s="258"/>
      <c r="AB88" s="258"/>
      <c r="AC88" s="334">
        <f aca="true" t="shared" si="1" ref="AC88:AC97">+B88</f>
        <v>711000</v>
      </c>
    </row>
    <row r="89" spans="1:29" ht="21.75">
      <c r="A89" s="229" t="s">
        <v>250</v>
      </c>
      <c r="B89" s="242"/>
      <c r="C89" s="242"/>
      <c r="D89" s="258"/>
      <c r="E89" s="260"/>
      <c r="F89" s="260"/>
      <c r="G89" s="260"/>
      <c r="H89" s="249"/>
      <c r="I89" s="249"/>
      <c r="J89" s="259"/>
      <c r="K89" s="249"/>
      <c r="L89" s="249"/>
      <c r="M89" s="259"/>
      <c r="N89" s="231"/>
      <c r="O89" s="242"/>
      <c r="P89" s="260"/>
      <c r="Q89" s="260"/>
      <c r="R89" s="260"/>
      <c r="S89" s="259"/>
      <c r="T89" s="260"/>
      <c r="U89" s="242"/>
      <c r="V89" s="260"/>
      <c r="W89" s="260"/>
      <c r="X89" s="258"/>
      <c r="Y89" s="258"/>
      <c r="Z89" s="258"/>
      <c r="AA89" s="258"/>
      <c r="AB89" s="258"/>
      <c r="AC89" s="334">
        <f t="shared" si="1"/>
        <v>0</v>
      </c>
    </row>
    <row r="90" spans="1:29" ht="21.75">
      <c r="A90" s="229" t="s">
        <v>251</v>
      </c>
      <c r="B90" s="242"/>
      <c r="C90" s="242"/>
      <c r="D90" s="258"/>
      <c r="E90" s="260"/>
      <c r="F90" s="260"/>
      <c r="G90" s="260"/>
      <c r="H90" s="249"/>
      <c r="I90" s="249"/>
      <c r="J90" s="259"/>
      <c r="K90" s="249"/>
      <c r="L90" s="249"/>
      <c r="M90" s="261"/>
      <c r="N90" s="231"/>
      <c r="O90" s="242"/>
      <c r="P90" s="260" t="s">
        <v>116</v>
      </c>
      <c r="Q90" s="260"/>
      <c r="R90" s="260"/>
      <c r="S90" s="259"/>
      <c r="T90" s="260"/>
      <c r="U90" s="242"/>
      <c r="V90" s="260"/>
      <c r="W90" s="260"/>
      <c r="X90" s="258"/>
      <c r="Y90" s="258"/>
      <c r="Z90" s="258"/>
      <c r="AA90" s="258"/>
      <c r="AB90" s="258"/>
      <c r="AC90" s="334">
        <f t="shared" si="1"/>
        <v>0</v>
      </c>
    </row>
    <row r="91" spans="1:29" ht="21.75">
      <c r="A91" s="229" t="s">
        <v>252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42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334">
        <f t="shared" si="1"/>
        <v>0</v>
      </c>
    </row>
    <row r="92" spans="1:29" ht="21.75">
      <c r="A92" s="229" t="s">
        <v>253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>
        <v>13200</v>
      </c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334">
        <f>+P92</f>
        <v>13200</v>
      </c>
    </row>
    <row r="93" spans="1:29" ht="21.75">
      <c r="A93" s="229" t="s">
        <v>254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48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334">
        <f t="shared" si="1"/>
        <v>0</v>
      </c>
    </row>
    <row r="94" spans="1:29" ht="21.75">
      <c r="A94" s="229" t="s">
        <v>255</v>
      </c>
      <c r="B94" s="233">
        <v>28500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49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334">
        <f t="shared" si="1"/>
        <v>28500</v>
      </c>
    </row>
    <row r="95" spans="1:29" ht="21.75">
      <c r="A95" s="229" t="s">
        <v>256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48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334">
        <f t="shared" si="1"/>
        <v>0</v>
      </c>
    </row>
    <row r="96" spans="1:29" ht="21.75">
      <c r="A96" s="229" t="s">
        <v>546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48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334">
        <f t="shared" si="1"/>
        <v>0</v>
      </c>
    </row>
    <row r="97" spans="1:29" ht="21.75">
      <c r="A97" s="229" t="s">
        <v>544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48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334">
        <f t="shared" si="1"/>
        <v>0</v>
      </c>
    </row>
    <row r="98" spans="1:29" ht="21.75">
      <c r="A98" s="229" t="s">
        <v>545</v>
      </c>
      <c r="B98" s="231">
        <v>37771</v>
      </c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48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334">
        <f>B98+P98</f>
        <v>37771</v>
      </c>
    </row>
    <row r="99" spans="1:29" ht="22.5" thickBot="1">
      <c r="A99" s="236" t="s">
        <v>210</v>
      </c>
      <c r="B99" s="250">
        <f>+B86+B87+B88+B89+B90+B91+B92+B93+B94+B95+B96+B97+B98</f>
        <v>777271</v>
      </c>
      <c r="C99" s="250">
        <v>0</v>
      </c>
      <c r="D99" s="250"/>
      <c r="E99" s="250"/>
      <c r="F99" s="250">
        <f>F89+F98+F86+F92+F97</f>
        <v>0</v>
      </c>
      <c r="G99" s="250"/>
      <c r="H99" s="469">
        <f>H92+H93+H94</f>
        <v>0</v>
      </c>
      <c r="I99" s="250"/>
      <c r="J99" s="250"/>
      <c r="K99" s="250" t="s">
        <v>116</v>
      </c>
      <c r="L99" s="250"/>
      <c r="M99" s="250"/>
      <c r="N99" s="250"/>
      <c r="O99" s="250"/>
      <c r="P99" s="250">
        <f>+P92</f>
        <v>13200</v>
      </c>
      <c r="Q99" s="251"/>
      <c r="R99" s="250"/>
      <c r="S99" s="250"/>
      <c r="T99" s="251"/>
      <c r="U99" s="250"/>
      <c r="V99" s="250"/>
      <c r="W99" s="250"/>
      <c r="X99" s="250"/>
      <c r="Y99" s="250"/>
      <c r="Z99" s="250"/>
      <c r="AA99" s="250"/>
      <c r="AB99" s="250"/>
      <c r="AC99" s="334">
        <f>SUM(AC86:AC98)</f>
        <v>790471</v>
      </c>
    </row>
    <row r="100" spans="1:30" ht="22.5" thickBot="1">
      <c r="A100" s="241" t="s">
        <v>211</v>
      </c>
      <c r="B100" s="237">
        <f>B99+B85</f>
        <v>972561</v>
      </c>
      <c r="C100" s="237">
        <f>+C85+C99</f>
        <v>35500</v>
      </c>
      <c r="D100" s="237"/>
      <c r="E100" s="237"/>
      <c r="F100" s="237">
        <f>F99+F85</f>
        <v>16050</v>
      </c>
      <c r="G100" s="237"/>
      <c r="H100" s="464">
        <f>H99</f>
        <v>0</v>
      </c>
      <c r="I100" s="237"/>
      <c r="J100" s="237"/>
      <c r="K100" s="237" t="s">
        <v>116</v>
      </c>
      <c r="L100" s="237"/>
      <c r="M100" s="237"/>
      <c r="N100" s="237"/>
      <c r="O100" s="237"/>
      <c r="P100" s="237">
        <f>+P85+P99</f>
        <v>13200</v>
      </c>
      <c r="Q100" s="237"/>
      <c r="R100" s="237"/>
      <c r="S100" s="237"/>
      <c r="T100" s="237"/>
      <c r="U100" s="237"/>
      <c r="V100" s="237">
        <f>+V97</f>
        <v>0</v>
      </c>
      <c r="W100" s="237"/>
      <c r="X100" s="237"/>
      <c r="Y100" s="237"/>
      <c r="Z100" s="237"/>
      <c r="AA100" s="237"/>
      <c r="AB100" s="237"/>
      <c r="AC100" s="342">
        <f>+AC99+AC85</f>
        <v>1107111</v>
      </c>
      <c r="AD100" s="41">
        <f>AC100-(งบทดลอง1!F31+งบทดลอง1!F32)</f>
        <v>0</v>
      </c>
    </row>
    <row r="101" spans="1:29" ht="22.5" thickBot="1">
      <c r="A101" s="229" t="s">
        <v>257</v>
      </c>
      <c r="B101" s="242" t="s">
        <v>116</v>
      </c>
      <c r="C101" s="242" t="s">
        <v>116</v>
      </c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0">
        <v>5700</v>
      </c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324">
        <f>+P101</f>
        <v>5700</v>
      </c>
    </row>
    <row r="102" spans="1:29" ht="22.5" thickBot="1">
      <c r="A102" s="236" t="s">
        <v>210</v>
      </c>
      <c r="B102" s="240" t="s">
        <v>116</v>
      </c>
      <c r="C102" s="240"/>
      <c r="D102" s="237"/>
      <c r="E102" s="237"/>
      <c r="F102" s="237"/>
      <c r="G102" s="237"/>
      <c r="H102" s="237"/>
      <c r="I102" s="237"/>
      <c r="J102" s="237"/>
      <c r="K102" s="237"/>
      <c r="L102" s="240"/>
      <c r="M102" s="240"/>
      <c r="N102" s="237"/>
      <c r="O102" s="237"/>
      <c r="P102" s="240">
        <v>5700</v>
      </c>
      <c r="Q102" s="237"/>
      <c r="R102" s="237"/>
      <c r="S102" s="237"/>
      <c r="T102" s="240"/>
      <c r="U102" s="240"/>
      <c r="V102" s="237"/>
      <c r="W102" s="237"/>
      <c r="X102" s="237"/>
      <c r="Y102" s="237"/>
      <c r="Z102" s="237"/>
      <c r="AA102" s="237"/>
      <c r="AB102" s="237"/>
      <c r="AC102" s="331">
        <f>AC101</f>
        <v>5700</v>
      </c>
    </row>
    <row r="103" spans="1:30" ht="22.5" thickBot="1">
      <c r="A103" s="241" t="s">
        <v>211</v>
      </c>
      <c r="B103" s="237" t="s">
        <v>116</v>
      </c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40">
        <v>5700</v>
      </c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329">
        <f>AC102</f>
        <v>5700</v>
      </c>
      <c r="AD103" s="287">
        <f>+AC103-งบทดลอง1!F33</f>
        <v>0</v>
      </c>
    </row>
    <row r="104" spans="1:29" ht="21.75">
      <c r="A104" s="229" t="s">
        <v>258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53"/>
      <c r="U104" s="242"/>
      <c r="V104" s="242"/>
      <c r="W104" s="242"/>
      <c r="X104" s="242"/>
      <c r="Y104" s="242"/>
      <c r="Z104" s="242"/>
      <c r="AA104" s="242"/>
      <c r="AB104" s="242"/>
      <c r="AC104" s="331"/>
    </row>
    <row r="105" spans="1:29" ht="21.75">
      <c r="A105" s="288" t="s">
        <v>284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3"/>
      <c r="AC105" s="335"/>
    </row>
    <row r="106" spans="1:29" ht="21.75">
      <c r="A106" s="288" t="s">
        <v>306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33"/>
      <c r="AC106" s="322"/>
    </row>
    <row r="107" spans="1:29" ht="21.75">
      <c r="A107" s="303" t="s">
        <v>307</v>
      </c>
      <c r="B107" s="242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322"/>
    </row>
    <row r="108" spans="1:29" ht="22.5" thickBot="1">
      <c r="A108" s="303" t="s">
        <v>310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51"/>
      <c r="AC108" s="335"/>
    </row>
    <row r="109" spans="1:29" ht="22.5" thickBot="1">
      <c r="A109" s="236" t="s">
        <v>210</v>
      </c>
      <c r="B109" s="240"/>
      <c r="C109" s="240"/>
      <c r="D109" s="237"/>
      <c r="E109" s="237"/>
      <c r="F109" s="237"/>
      <c r="G109" s="237"/>
      <c r="H109" s="240"/>
      <c r="I109" s="240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40"/>
      <c r="U109" s="240"/>
      <c r="V109" s="237"/>
      <c r="W109" s="240"/>
      <c r="X109" s="237"/>
      <c r="Y109" s="237"/>
      <c r="Z109" s="237"/>
      <c r="AA109" s="237"/>
      <c r="AB109" s="251"/>
      <c r="AC109" s="324"/>
    </row>
    <row r="110" spans="1:30" ht="22.5" thickBot="1">
      <c r="A110" s="247" t="s">
        <v>211</v>
      </c>
      <c r="B110" s="240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40"/>
      <c r="AC110" s="324">
        <f>AC109+AC104</f>
        <v>0</v>
      </c>
      <c r="AD110" s="287"/>
    </row>
    <row r="111" spans="1:29" ht="21.75">
      <c r="A111" s="229" t="s">
        <v>259</v>
      </c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315">
        <v>916706.56</v>
      </c>
      <c r="AC111" s="315">
        <f>+AB111</f>
        <v>916706.56</v>
      </c>
    </row>
    <row r="112" spans="1:29" ht="21.75">
      <c r="A112" s="229" t="s">
        <v>260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331">
        <f>AB112</f>
        <v>0</v>
      </c>
    </row>
    <row r="113" spans="1:29" ht="21.75">
      <c r="A113" s="229" t="s">
        <v>261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331">
        <f>+AB113</f>
        <v>0</v>
      </c>
    </row>
    <row r="114" spans="1:29" ht="21.75">
      <c r="A114" s="229" t="s">
        <v>262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>
        <v>28636</v>
      </c>
      <c r="AC114" s="331">
        <f>AB114</f>
        <v>28636</v>
      </c>
    </row>
    <row r="115" spans="1:30" ht="21.75">
      <c r="A115" s="277" t="s">
        <v>469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>
        <v>2389.32</v>
      </c>
      <c r="AC115" s="322">
        <v>2389.32</v>
      </c>
      <c r="AD115" s="496"/>
    </row>
    <row r="116" spans="1:29" ht="22.5" thickBot="1">
      <c r="A116" s="277" t="s">
        <v>277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>
        <v>97500</v>
      </c>
      <c r="AC116" s="331">
        <f>AB116</f>
        <v>97500</v>
      </c>
    </row>
    <row r="117" spans="1:29" ht="22.5" thickBot="1">
      <c r="A117" s="236" t="s">
        <v>210</v>
      </c>
      <c r="B117" s="240"/>
      <c r="C117" s="240"/>
      <c r="D117" s="237"/>
      <c r="E117" s="237"/>
      <c r="F117" s="237"/>
      <c r="G117" s="237"/>
      <c r="H117" s="240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40"/>
      <c r="U117" s="240"/>
      <c r="V117" s="237"/>
      <c r="W117" s="240"/>
      <c r="X117" s="237"/>
      <c r="Y117" s="237"/>
      <c r="Z117" s="237"/>
      <c r="AA117" s="237"/>
      <c r="AB117" s="237">
        <f>AB112+AB113+AB114+AB115+AB116</f>
        <v>128525.32</v>
      </c>
      <c r="AC117" s="329">
        <f>AC112+AC113+AC114+AC115+AC116</f>
        <v>128525.32</v>
      </c>
    </row>
    <row r="118" spans="1:30" ht="22.5" thickBot="1">
      <c r="A118" s="241" t="s">
        <v>211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>
        <f>AB117+AB111</f>
        <v>1045231.8800000001</v>
      </c>
      <c r="AC118" s="329">
        <f>AB118+B118</f>
        <v>1045231.8800000001</v>
      </c>
      <c r="AD118" s="287">
        <f>AC118-(งบทดลอง1!F18)</f>
        <v>0</v>
      </c>
    </row>
    <row r="119" spans="1:29" ht="21.75">
      <c r="A119" s="262"/>
      <c r="B119" s="263"/>
      <c r="C119" s="309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336"/>
    </row>
    <row r="120" spans="1:29" ht="21.75">
      <c r="A120" s="262"/>
      <c r="B120" s="263"/>
      <c r="C120" s="309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336"/>
    </row>
    <row r="121" spans="1:29" ht="23.25">
      <c r="A121" s="264"/>
      <c r="B121" s="264"/>
      <c r="C121" s="310"/>
      <c r="D121" s="27"/>
      <c r="E121" s="27"/>
      <c r="F121" s="27"/>
      <c r="G121" s="27"/>
      <c r="H121" s="264"/>
      <c r="I121" s="264"/>
      <c r="J121" s="28"/>
      <c r="K121" s="265"/>
      <c r="L121" s="1"/>
      <c r="M121" s="14"/>
      <c r="N121" s="1"/>
      <c r="O121" s="14"/>
      <c r="P121" s="1"/>
      <c r="Q121" s="1"/>
      <c r="R121" s="1"/>
      <c r="S121" s="14"/>
      <c r="T121" s="1"/>
      <c r="U121" s="14"/>
      <c r="V121" s="1"/>
      <c r="W121" s="1"/>
      <c r="X121" s="14"/>
      <c r="Y121" s="14"/>
      <c r="Z121" s="14"/>
      <c r="AA121" s="14"/>
      <c r="AB121" s="1"/>
      <c r="AC121" s="337"/>
    </row>
    <row r="122" spans="1:29" ht="23.25">
      <c r="A122" s="264"/>
      <c r="B122" s="264"/>
      <c r="C122" s="310"/>
      <c r="D122" s="27"/>
      <c r="E122" s="27"/>
      <c r="F122" s="27"/>
      <c r="G122" s="27"/>
      <c r="H122" s="264"/>
      <c r="I122" s="264"/>
      <c r="J122" s="28"/>
      <c r="K122" s="265"/>
      <c r="L122" s="1"/>
      <c r="M122" s="14"/>
      <c r="N122" s="1"/>
      <c r="O122" s="14"/>
      <c r="P122" s="1"/>
      <c r="Q122" s="1"/>
      <c r="R122" s="1"/>
      <c r="S122" s="14"/>
      <c r="T122" s="1"/>
      <c r="U122" s="14"/>
      <c r="V122" s="1"/>
      <c r="W122" s="1"/>
      <c r="X122" s="14"/>
      <c r="Y122" s="14"/>
      <c r="Z122" s="14"/>
      <c r="AA122" s="14"/>
      <c r="AB122" s="1"/>
      <c r="AC122" s="337"/>
    </row>
  </sheetData>
  <sheetProtection/>
  <mergeCells count="41">
    <mergeCell ref="V5:W5"/>
    <mergeCell ref="S83:S84"/>
    <mergeCell ref="Y5:Z5"/>
    <mergeCell ref="AC83:AC84"/>
    <mergeCell ref="A1:AC1"/>
    <mergeCell ref="A2:AC2"/>
    <mergeCell ref="A3:AC3"/>
    <mergeCell ref="X5:X6"/>
    <mergeCell ref="AC5:AC6"/>
    <mergeCell ref="B5:C5"/>
    <mergeCell ref="D5:D6"/>
    <mergeCell ref="V43:W43"/>
    <mergeCell ref="K5:L5"/>
    <mergeCell ref="D83:D84"/>
    <mergeCell ref="Y83:Z83"/>
    <mergeCell ref="P43:R43"/>
    <mergeCell ref="AC43:AC44"/>
    <mergeCell ref="A82:AC82"/>
    <mergeCell ref="B83:C83"/>
    <mergeCell ref="Y43:Z43"/>
    <mergeCell ref="H83:I83"/>
    <mergeCell ref="K43:L43"/>
    <mergeCell ref="V83:W83"/>
    <mergeCell ref="S43:S44"/>
    <mergeCell ref="P5:R5"/>
    <mergeCell ref="H43:I43"/>
    <mergeCell ref="J43:J44"/>
    <mergeCell ref="K83:L83"/>
    <mergeCell ref="P83:R83"/>
    <mergeCell ref="S5:S6"/>
    <mergeCell ref="A42:AC42"/>
    <mergeCell ref="J83:J84"/>
    <mergeCell ref="D43:D44"/>
    <mergeCell ref="J5:J6"/>
    <mergeCell ref="X83:X84"/>
    <mergeCell ref="B43:C43"/>
    <mergeCell ref="H5:I5"/>
    <mergeCell ref="X43:X44"/>
    <mergeCell ref="E43:F43"/>
    <mergeCell ref="E5:F5"/>
    <mergeCell ref="E83:F83"/>
  </mergeCells>
  <printOptions/>
  <pageMargins left="0.23" right="0.15748031496062992" top="0.41" bottom="0.31496062992125984" header="0.15748031496062992" footer="0.1968503937007874"/>
  <pageSetup horizontalDpi="600" verticalDpi="600" orientation="landscape" paperSize="5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708"/>
  <sheetViews>
    <sheetView view="pageBreakPreview" zoomScale="101" zoomScaleSheetLayoutView="101" workbookViewId="0" topLeftCell="A705">
      <selection activeCell="G464" sqref="G464"/>
    </sheetView>
  </sheetViews>
  <sheetFormatPr defaultColWidth="9.140625" defaultRowHeight="21.75"/>
  <cols>
    <col min="1" max="1" width="50.421875" style="13" customWidth="1"/>
    <col min="2" max="2" width="10.7109375" style="13" customWidth="1"/>
    <col min="3" max="3" width="12.421875" style="13" customWidth="1"/>
    <col min="4" max="4" width="4.00390625" style="13" customWidth="1"/>
    <col min="5" max="5" width="12.421875" style="13" customWidth="1"/>
    <col min="6" max="6" width="4.00390625" style="13" customWidth="1"/>
    <col min="7" max="16384" width="9.140625" style="13" customWidth="1"/>
  </cols>
  <sheetData>
    <row r="1" spans="1:6" ht="22.5">
      <c r="A1" s="686" t="s">
        <v>614</v>
      </c>
      <c r="B1" s="686"/>
      <c r="C1" s="686"/>
      <c r="D1" s="686"/>
      <c r="E1" s="686"/>
      <c r="F1" s="686"/>
    </row>
    <row r="2" spans="1:6" ht="22.5">
      <c r="A2" s="686" t="s">
        <v>613</v>
      </c>
      <c r="B2" s="686"/>
      <c r="C2" s="686"/>
      <c r="D2" s="686"/>
      <c r="E2" s="686"/>
      <c r="F2" s="686"/>
    </row>
    <row r="3" spans="1:6" ht="22.5">
      <c r="A3" s="687" t="s">
        <v>320</v>
      </c>
      <c r="B3" s="687"/>
      <c r="C3" s="687"/>
      <c r="D3" s="687"/>
      <c r="E3" s="687"/>
      <c r="F3" s="687"/>
    </row>
    <row r="4" spans="1:6" ht="22.5">
      <c r="A4" s="367" t="s">
        <v>489</v>
      </c>
      <c r="B4" s="367"/>
      <c r="C4" s="367"/>
      <c r="D4" s="367"/>
      <c r="E4" s="367"/>
      <c r="F4" s="367"/>
    </row>
    <row r="5" spans="1:6" ht="22.5">
      <c r="A5" s="368" t="s">
        <v>36</v>
      </c>
      <c r="B5" s="369" t="s">
        <v>35</v>
      </c>
      <c r="C5" s="688" t="s">
        <v>313</v>
      </c>
      <c r="D5" s="689"/>
      <c r="E5" s="690" t="s">
        <v>38</v>
      </c>
      <c r="F5" s="689"/>
    </row>
    <row r="6" spans="1:6" ht="22.5">
      <c r="A6" s="370" t="s">
        <v>615</v>
      </c>
      <c r="B6" s="371"/>
      <c r="C6" s="372">
        <v>503000</v>
      </c>
      <c r="D6" s="373" t="s">
        <v>53</v>
      </c>
      <c r="E6" s="374"/>
      <c r="F6" s="375"/>
    </row>
    <row r="7" spans="1:6" ht="22.5">
      <c r="A7" s="370" t="s">
        <v>615</v>
      </c>
      <c r="B7" s="377"/>
      <c r="C7" s="380">
        <v>119300</v>
      </c>
      <c r="D7" s="373"/>
      <c r="E7" s="370"/>
      <c r="F7" s="375"/>
    </row>
    <row r="8" spans="1:6" ht="22.5">
      <c r="A8" s="370" t="s">
        <v>616</v>
      </c>
      <c r="B8" s="377"/>
      <c r="C8" s="380">
        <v>23000</v>
      </c>
      <c r="D8" s="373"/>
      <c r="E8" s="370"/>
      <c r="F8" s="375"/>
    </row>
    <row r="9" spans="1:6" ht="22.5">
      <c r="A9" s="370" t="s">
        <v>616</v>
      </c>
      <c r="B9" s="377"/>
      <c r="C9" s="380">
        <v>56000</v>
      </c>
      <c r="D9" s="373"/>
      <c r="E9" s="370"/>
      <c r="F9" s="375"/>
    </row>
    <row r="10" spans="1:6" ht="22.5">
      <c r="A10" s="370" t="s">
        <v>48</v>
      </c>
      <c r="B10" s="377"/>
      <c r="C10" s="380">
        <v>20500</v>
      </c>
      <c r="D10" s="373"/>
      <c r="E10" s="370"/>
      <c r="F10" s="375"/>
    </row>
    <row r="11" spans="1:6" ht="22.5">
      <c r="A11" s="370" t="s">
        <v>48</v>
      </c>
      <c r="B11" s="377"/>
      <c r="C11" s="380">
        <v>12000</v>
      </c>
      <c r="D11" s="373"/>
      <c r="E11" s="370"/>
      <c r="F11" s="375"/>
    </row>
    <row r="12" spans="1:6" ht="22.5">
      <c r="A12" s="376" t="s">
        <v>335</v>
      </c>
      <c r="B12" s="377" t="s">
        <v>327</v>
      </c>
      <c r="C12" s="378"/>
      <c r="D12" s="379"/>
      <c r="E12" s="380">
        <f>C11+C6+C7+C8+C9+C10</f>
        <v>733800</v>
      </c>
      <c r="F12" s="377" t="s">
        <v>53</v>
      </c>
    </row>
    <row r="13" spans="1:6" ht="22.5">
      <c r="A13" s="370"/>
      <c r="B13" s="377"/>
      <c r="C13" s="378"/>
      <c r="D13" s="379"/>
      <c r="E13" s="381"/>
      <c r="F13" s="382"/>
    </row>
    <row r="14" spans="1:6" ht="22.5">
      <c r="A14" s="370"/>
      <c r="B14" s="377"/>
      <c r="C14" s="381"/>
      <c r="D14" s="379"/>
      <c r="E14" s="381"/>
      <c r="F14" s="382"/>
    </row>
    <row r="15" spans="1:6" ht="22.5">
      <c r="A15" s="370"/>
      <c r="B15" s="377"/>
      <c r="C15" s="381"/>
      <c r="D15" s="379"/>
      <c r="E15" s="381"/>
      <c r="F15" s="382"/>
    </row>
    <row r="16" spans="1:6" ht="22.5">
      <c r="A16" s="370"/>
      <c r="B16" s="377"/>
      <c r="C16" s="381"/>
      <c r="D16" s="379"/>
      <c r="E16" s="381"/>
      <c r="F16" s="382"/>
    </row>
    <row r="17" spans="1:6" ht="22.5">
      <c r="A17" s="383"/>
      <c r="B17" s="377"/>
      <c r="C17" s="378"/>
      <c r="D17" s="379"/>
      <c r="E17" s="381"/>
      <c r="F17" s="382"/>
    </row>
    <row r="18" spans="1:6" ht="22.5">
      <c r="A18" s="370"/>
      <c r="B18" s="377"/>
      <c r="C18" s="378"/>
      <c r="D18" s="379"/>
      <c r="E18" s="381"/>
      <c r="F18" s="382"/>
    </row>
    <row r="19" spans="1:6" ht="22.5">
      <c r="A19" s="370"/>
      <c r="B19" s="377"/>
      <c r="C19" s="370"/>
      <c r="D19" s="379"/>
      <c r="E19" s="378"/>
      <c r="F19" s="382"/>
    </row>
    <row r="20" spans="1:6" ht="22.5">
      <c r="A20" s="384"/>
      <c r="B20" s="385"/>
      <c r="C20" s="386"/>
      <c r="D20" s="387"/>
      <c r="E20" s="388"/>
      <c r="F20" s="387"/>
    </row>
    <row r="21" spans="1:6" ht="22.5">
      <c r="A21" s="389" t="s">
        <v>321</v>
      </c>
      <c r="B21" s="390"/>
      <c r="C21" s="391"/>
      <c r="D21" s="379"/>
      <c r="E21" s="392"/>
      <c r="F21" s="382"/>
    </row>
    <row r="22" spans="1:6" ht="22.5">
      <c r="A22" s="683" t="s">
        <v>617</v>
      </c>
      <c r="B22" s="684"/>
      <c r="C22" s="684"/>
      <c r="D22" s="684"/>
      <c r="E22" s="684"/>
      <c r="F22" s="685"/>
    </row>
    <row r="23" spans="1:6" ht="22.5">
      <c r="A23" s="559" t="s">
        <v>618</v>
      </c>
      <c r="B23" s="390"/>
      <c r="C23" s="560">
        <f>+C8+C9</f>
        <v>79000</v>
      </c>
      <c r="D23" s="379"/>
      <c r="E23" s="392" t="s">
        <v>54</v>
      </c>
      <c r="F23" s="382"/>
    </row>
    <row r="24" spans="1:6" ht="22.5">
      <c r="A24" s="559" t="s">
        <v>619</v>
      </c>
      <c r="B24" s="395"/>
      <c r="C24" s="560">
        <f>+C6+C7</f>
        <v>622300</v>
      </c>
      <c r="D24" s="379"/>
      <c r="E24" s="392" t="s">
        <v>54</v>
      </c>
      <c r="F24" s="382"/>
    </row>
    <row r="25" spans="1:6" ht="22.5">
      <c r="A25" s="559" t="s">
        <v>620</v>
      </c>
      <c r="B25" s="395"/>
      <c r="C25" s="560">
        <f>+C10+C11</f>
        <v>32500</v>
      </c>
      <c r="D25" s="379"/>
      <c r="E25" s="392" t="s">
        <v>54</v>
      </c>
      <c r="F25" s="382"/>
    </row>
    <row r="26" spans="1:6" ht="22.5">
      <c r="A26" s="393" t="s">
        <v>621</v>
      </c>
      <c r="B26" s="395"/>
      <c r="C26" s="391"/>
      <c r="D26" s="379"/>
      <c r="E26" s="392"/>
      <c r="F26" s="382"/>
    </row>
    <row r="27" spans="1:6" ht="22.5">
      <c r="A27" s="396"/>
      <c r="B27" s="390"/>
      <c r="C27" s="391"/>
      <c r="D27" s="379"/>
      <c r="E27" s="392"/>
      <c r="F27" s="382"/>
    </row>
    <row r="28" spans="1:6" ht="22.5">
      <c r="A28" s="393" t="s">
        <v>322</v>
      </c>
      <c r="B28" s="391"/>
      <c r="C28" s="391"/>
      <c r="D28" s="379"/>
      <c r="E28" s="391"/>
      <c r="F28" s="375"/>
    </row>
    <row r="29" spans="1:6" ht="22.5">
      <c r="A29" s="393"/>
      <c r="B29" s="391"/>
      <c r="C29" s="391"/>
      <c r="D29" s="379"/>
      <c r="E29" s="391"/>
      <c r="F29" s="375"/>
    </row>
    <row r="30" spans="1:6" ht="22.5">
      <c r="A30" s="683"/>
      <c r="B30" s="684"/>
      <c r="C30" s="684"/>
      <c r="D30" s="684"/>
      <c r="E30" s="684"/>
      <c r="F30" s="685"/>
    </row>
    <row r="31" spans="1:6" ht="22.5">
      <c r="A31" s="393"/>
      <c r="B31" s="390"/>
      <c r="C31" s="391"/>
      <c r="D31" s="379"/>
      <c r="E31" s="392"/>
      <c r="F31" s="382"/>
    </row>
    <row r="32" spans="1:6" ht="22.5">
      <c r="A32" s="384"/>
      <c r="B32" s="397"/>
      <c r="C32" s="397"/>
      <c r="D32" s="397"/>
      <c r="E32" s="397"/>
      <c r="F32" s="398"/>
    </row>
    <row r="35" spans="1:6" ht="22.5">
      <c r="A35" s="686" t="s">
        <v>614</v>
      </c>
      <c r="B35" s="686"/>
      <c r="C35" s="686"/>
      <c r="D35" s="686"/>
      <c r="E35" s="686"/>
      <c r="F35" s="686"/>
    </row>
    <row r="36" spans="1:6" ht="22.5">
      <c r="A36" s="686" t="s">
        <v>625</v>
      </c>
      <c r="B36" s="686"/>
      <c r="C36" s="686"/>
      <c r="D36" s="686"/>
      <c r="E36" s="686"/>
      <c r="F36" s="686"/>
    </row>
    <row r="37" spans="1:6" ht="22.5">
      <c r="A37" s="687" t="s">
        <v>320</v>
      </c>
      <c r="B37" s="687"/>
      <c r="C37" s="687"/>
      <c r="D37" s="687"/>
      <c r="E37" s="687"/>
      <c r="F37" s="687"/>
    </row>
    <row r="38" spans="1:6" ht="22.5">
      <c r="A38" s="367" t="s">
        <v>489</v>
      </c>
      <c r="B38" s="367"/>
      <c r="C38" s="367"/>
      <c r="D38" s="367"/>
      <c r="E38" s="367"/>
      <c r="F38" s="367"/>
    </row>
    <row r="39" spans="1:6" ht="22.5">
      <c r="A39" s="368" t="s">
        <v>36</v>
      </c>
      <c r="B39" s="369" t="s">
        <v>35</v>
      </c>
      <c r="C39" s="688" t="s">
        <v>313</v>
      </c>
      <c r="D39" s="689"/>
      <c r="E39" s="690" t="s">
        <v>38</v>
      </c>
      <c r="F39" s="689"/>
    </row>
    <row r="40" spans="1:6" ht="22.5">
      <c r="A40" s="370" t="s">
        <v>622</v>
      </c>
      <c r="B40" s="371"/>
      <c r="C40" s="372">
        <v>27000</v>
      </c>
      <c r="D40" s="373" t="s">
        <v>53</v>
      </c>
      <c r="E40" s="374"/>
      <c r="F40" s="375"/>
    </row>
    <row r="41" spans="1:6" ht="22.5">
      <c r="A41" s="376" t="s">
        <v>335</v>
      </c>
      <c r="B41" s="377" t="s">
        <v>327</v>
      </c>
      <c r="C41" s="378"/>
      <c r="D41" s="379"/>
      <c r="E41" s="380">
        <f>C40</f>
        <v>27000</v>
      </c>
      <c r="F41" s="377" t="s">
        <v>53</v>
      </c>
    </row>
    <row r="42" spans="1:6" ht="22.5">
      <c r="A42" s="370"/>
      <c r="B42" s="377"/>
      <c r="C42" s="378"/>
      <c r="D42" s="379"/>
      <c r="E42" s="381"/>
      <c r="F42" s="382"/>
    </row>
    <row r="43" spans="1:6" ht="22.5">
      <c r="A43" s="370"/>
      <c r="B43" s="377"/>
      <c r="C43" s="381"/>
      <c r="D43" s="379"/>
      <c r="E43" s="381"/>
      <c r="F43" s="382"/>
    </row>
    <row r="44" spans="1:6" ht="22.5">
      <c r="A44" s="370"/>
      <c r="B44" s="377"/>
      <c r="C44" s="381"/>
      <c r="D44" s="379"/>
      <c r="E44" s="381"/>
      <c r="F44" s="382"/>
    </row>
    <row r="45" spans="1:6" ht="22.5">
      <c r="A45" s="370"/>
      <c r="B45" s="377"/>
      <c r="C45" s="381"/>
      <c r="D45" s="379"/>
      <c r="E45" s="381"/>
      <c r="F45" s="382"/>
    </row>
    <row r="46" spans="1:6" ht="22.5">
      <c r="A46" s="383"/>
      <c r="B46" s="377"/>
      <c r="C46" s="378"/>
      <c r="D46" s="379"/>
      <c r="E46" s="381"/>
      <c r="F46" s="382"/>
    </row>
    <row r="47" spans="1:6" ht="22.5">
      <c r="A47" s="370"/>
      <c r="B47" s="377"/>
      <c r="C47" s="378"/>
      <c r="D47" s="379"/>
      <c r="E47" s="381"/>
      <c r="F47" s="382"/>
    </row>
    <row r="48" spans="1:6" ht="22.5">
      <c r="A48" s="370"/>
      <c r="B48" s="377"/>
      <c r="C48" s="370"/>
      <c r="D48" s="379"/>
      <c r="E48" s="378"/>
      <c r="F48" s="382"/>
    </row>
    <row r="49" spans="1:6" ht="22.5">
      <c r="A49" s="384"/>
      <c r="B49" s="385"/>
      <c r="C49" s="386"/>
      <c r="D49" s="387"/>
      <c r="E49" s="388"/>
      <c r="F49" s="387"/>
    </row>
    <row r="50" spans="1:6" ht="22.5">
      <c r="A50" s="389" t="s">
        <v>321</v>
      </c>
      <c r="B50" s="390"/>
      <c r="C50" s="391"/>
      <c r="D50" s="379"/>
      <c r="E50" s="392"/>
      <c r="F50" s="382"/>
    </row>
    <row r="51" spans="1:6" ht="22.5">
      <c r="A51" s="683" t="s">
        <v>623</v>
      </c>
      <c r="B51" s="684"/>
      <c r="C51" s="684"/>
      <c r="D51" s="684"/>
      <c r="E51" s="684"/>
      <c r="F51" s="685"/>
    </row>
    <row r="52" spans="1:6" ht="22.5">
      <c r="A52" s="393" t="s">
        <v>624</v>
      </c>
      <c r="B52" s="390"/>
      <c r="C52" s="391"/>
      <c r="D52" s="379"/>
      <c r="E52" s="392"/>
      <c r="F52" s="382"/>
    </row>
    <row r="53" spans="1:6" ht="22.5">
      <c r="A53" s="394"/>
      <c r="B53" s="395"/>
      <c r="C53" s="391"/>
      <c r="D53" s="379"/>
      <c r="E53" s="392"/>
      <c r="F53" s="382"/>
    </row>
    <row r="54" spans="1:6" ht="22.5">
      <c r="A54" s="394"/>
      <c r="B54" s="395"/>
      <c r="C54" s="391"/>
      <c r="D54" s="379"/>
      <c r="E54" s="392"/>
      <c r="F54" s="382"/>
    </row>
    <row r="55" spans="1:6" ht="22.5">
      <c r="A55" s="394"/>
      <c r="B55" s="395"/>
      <c r="C55" s="391"/>
      <c r="D55" s="379"/>
      <c r="E55" s="392"/>
      <c r="F55" s="382"/>
    </row>
    <row r="56" spans="1:6" ht="22.5">
      <c r="A56" s="396"/>
      <c r="B56" s="390"/>
      <c r="C56" s="391"/>
      <c r="D56" s="379"/>
      <c r="E56" s="392"/>
      <c r="F56" s="382"/>
    </row>
    <row r="57" spans="1:6" ht="22.5">
      <c r="A57" s="396"/>
      <c r="B57" s="390"/>
      <c r="C57" s="391"/>
      <c r="D57" s="379"/>
      <c r="E57" s="392"/>
      <c r="F57" s="382"/>
    </row>
    <row r="58" spans="1:6" ht="22.5">
      <c r="A58" s="393" t="s">
        <v>322</v>
      </c>
      <c r="B58" s="391"/>
      <c r="C58" s="391"/>
      <c r="D58" s="379"/>
      <c r="E58" s="391"/>
      <c r="F58" s="375"/>
    </row>
    <row r="59" spans="1:6" ht="22.5">
      <c r="A59" s="393"/>
      <c r="B59" s="391"/>
      <c r="C59" s="391"/>
      <c r="D59" s="379"/>
      <c r="E59" s="391"/>
      <c r="F59" s="375"/>
    </row>
    <row r="60" spans="1:6" ht="22.5">
      <c r="A60" s="683"/>
      <c r="B60" s="684"/>
      <c r="C60" s="684"/>
      <c r="D60" s="684"/>
      <c r="E60" s="684"/>
      <c r="F60" s="685"/>
    </row>
    <row r="61" spans="1:6" ht="22.5">
      <c r="A61" s="393"/>
      <c r="B61" s="390"/>
      <c r="C61" s="391"/>
      <c r="D61" s="379"/>
      <c r="E61" s="392"/>
      <c r="F61" s="382"/>
    </row>
    <row r="62" spans="1:6" ht="22.5">
      <c r="A62" s="384"/>
      <c r="B62" s="397"/>
      <c r="C62" s="397"/>
      <c r="D62" s="397"/>
      <c r="E62" s="397"/>
      <c r="F62" s="398"/>
    </row>
    <row r="69" spans="1:6" ht="22.5">
      <c r="A69" s="686" t="s">
        <v>614</v>
      </c>
      <c r="B69" s="686"/>
      <c r="C69" s="686"/>
      <c r="D69" s="686"/>
      <c r="E69" s="686"/>
      <c r="F69" s="686"/>
    </row>
    <row r="70" spans="1:6" ht="22.5">
      <c r="A70" s="686" t="s">
        <v>625</v>
      </c>
      <c r="B70" s="686"/>
      <c r="C70" s="686"/>
      <c r="D70" s="686"/>
      <c r="E70" s="686"/>
      <c r="F70" s="686"/>
    </row>
    <row r="71" spans="1:6" ht="22.5">
      <c r="A71" s="687" t="s">
        <v>320</v>
      </c>
      <c r="B71" s="687"/>
      <c r="C71" s="687"/>
      <c r="D71" s="687"/>
      <c r="E71" s="687"/>
      <c r="F71" s="687"/>
    </row>
    <row r="72" spans="1:6" ht="22.5">
      <c r="A72" s="367" t="s">
        <v>489</v>
      </c>
      <c r="B72" s="367"/>
      <c r="C72" s="367"/>
      <c r="D72" s="367"/>
      <c r="E72" s="367"/>
      <c r="F72" s="367"/>
    </row>
    <row r="73" spans="1:6" ht="22.5">
      <c r="A73" s="368" t="s">
        <v>36</v>
      </c>
      <c r="B73" s="369" t="s">
        <v>35</v>
      </c>
      <c r="C73" s="688" t="s">
        <v>313</v>
      </c>
      <c r="D73" s="689"/>
      <c r="E73" s="690" t="s">
        <v>38</v>
      </c>
      <c r="F73" s="689"/>
    </row>
    <row r="74" spans="1:6" ht="22.5">
      <c r="A74" s="370" t="s">
        <v>628</v>
      </c>
      <c r="B74" s="371"/>
      <c r="C74" s="372">
        <v>15000</v>
      </c>
      <c r="D74" s="373" t="s">
        <v>53</v>
      </c>
      <c r="E74" s="374"/>
      <c r="F74" s="375"/>
    </row>
    <row r="75" spans="1:6" ht="22.5">
      <c r="A75" s="376" t="s">
        <v>335</v>
      </c>
      <c r="B75" s="377" t="s">
        <v>327</v>
      </c>
      <c r="C75" s="378"/>
      <c r="D75" s="379"/>
      <c r="E75" s="380">
        <f>C74</f>
        <v>15000</v>
      </c>
      <c r="F75" s="377" t="s">
        <v>53</v>
      </c>
    </row>
    <row r="76" spans="1:6" ht="22.5">
      <c r="A76" s="370"/>
      <c r="B76" s="377"/>
      <c r="C76" s="378"/>
      <c r="D76" s="379"/>
      <c r="E76" s="381"/>
      <c r="F76" s="382"/>
    </row>
    <row r="77" spans="1:6" ht="22.5">
      <c r="A77" s="370"/>
      <c r="B77" s="377"/>
      <c r="C77" s="381"/>
      <c r="D77" s="379"/>
      <c r="E77" s="381"/>
      <c r="F77" s="382"/>
    </row>
    <row r="78" spans="1:6" ht="22.5">
      <c r="A78" s="370"/>
      <c r="B78" s="377"/>
      <c r="C78" s="381"/>
      <c r="D78" s="379"/>
      <c r="E78" s="381"/>
      <c r="F78" s="382"/>
    </row>
    <row r="79" spans="1:6" ht="22.5">
      <c r="A79" s="370"/>
      <c r="B79" s="377"/>
      <c r="C79" s="381"/>
      <c r="D79" s="379"/>
      <c r="E79" s="381"/>
      <c r="F79" s="382"/>
    </row>
    <row r="80" spans="1:6" ht="22.5">
      <c r="A80" s="383"/>
      <c r="B80" s="377"/>
      <c r="C80" s="378"/>
      <c r="D80" s="379"/>
      <c r="E80" s="381"/>
      <c r="F80" s="382"/>
    </row>
    <row r="81" spans="1:6" ht="22.5">
      <c r="A81" s="370"/>
      <c r="B81" s="377"/>
      <c r="C81" s="378"/>
      <c r="D81" s="379"/>
      <c r="E81" s="381"/>
      <c r="F81" s="382"/>
    </row>
    <row r="82" spans="1:6" ht="22.5">
      <c r="A82" s="370"/>
      <c r="B82" s="377"/>
      <c r="C82" s="370"/>
      <c r="D82" s="379"/>
      <c r="E82" s="378"/>
      <c r="F82" s="382"/>
    </row>
    <row r="83" spans="1:6" ht="22.5">
      <c r="A83" s="384"/>
      <c r="B83" s="385"/>
      <c r="C83" s="386"/>
      <c r="D83" s="387"/>
      <c r="E83" s="388"/>
      <c r="F83" s="387"/>
    </row>
    <row r="84" spans="1:6" ht="22.5">
      <c r="A84" s="389" t="s">
        <v>321</v>
      </c>
      <c r="B84" s="390"/>
      <c r="C84" s="391"/>
      <c r="D84" s="379"/>
      <c r="E84" s="392"/>
      <c r="F84" s="382"/>
    </row>
    <row r="85" spans="1:6" ht="22.5">
      <c r="A85" s="683" t="s">
        <v>626</v>
      </c>
      <c r="B85" s="684"/>
      <c r="C85" s="684"/>
      <c r="D85" s="684"/>
      <c r="E85" s="684"/>
      <c r="F85" s="685"/>
    </row>
    <row r="86" spans="1:6" ht="22.5">
      <c r="A86" s="393" t="s">
        <v>627</v>
      </c>
      <c r="B86" s="390"/>
      <c r="C86" s="391"/>
      <c r="D86" s="379"/>
      <c r="E86" s="392"/>
      <c r="F86" s="382"/>
    </row>
    <row r="87" spans="1:6" ht="22.5">
      <c r="A87" s="394"/>
      <c r="B87" s="395"/>
      <c r="C87" s="391"/>
      <c r="D87" s="379"/>
      <c r="E87" s="392"/>
      <c r="F87" s="382"/>
    </row>
    <row r="88" spans="1:6" ht="22.5">
      <c r="A88" s="394"/>
      <c r="B88" s="395"/>
      <c r="C88" s="391"/>
      <c r="D88" s="379"/>
      <c r="E88" s="392"/>
      <c r="F88" s="382"/>
    </row>
    <row r="89" spans="1:6" ht="22.5">
      <c r="A89" s="394"/>
      <c r="B89" s="395"/>
      <c r="C89" s="391"/>
      <c r="D89" s="379"/>
      <c r="E89" s="392"/>
      <c r="F89" s="382"/>
    </row>
    <row r="90" spans="1:6" ht="22.5">
      <c r="A90" s="396"/>
      <c r="B90" s="390"/>
      <c r="C90" s="391"/>
      <c r="D90" s="379"/>
      <c r="E90" s="392"/>
      <c r="F90" s="382"/>
    </row>
    <row r="91" spans="1:6" ht="22.5">
      <c r="A91" s="396"/>
      <c r="B91" s="390"/>
      <c r="C91" s="391"/>
      <c r="D91" s="379"/>
      <c r="E91" s="392"/>
      <c r="F91" s="382"/>
    </row>
    <row r="92" spans="1:6" ht="22.5">
      <c r="A92" s="393" t="s">
        <v>322</v>
      </c>
      <c r="B92" s="391"/>
      <c r="C92" s="391"/>
      <c r="D92" s="379"/>
      <c r="E92" s="391"/>
      <c r="F92" s="375"/>
    </row>
    <row r="93" spans="1:6" ht="22.5">
      <c r="A93" s="393"/>
      <c r="B93" s="391"/>
      <c r="C93" s="391"/>
      <c r="D93" s="379"/>
      <c r="E93" s="391"/>
      <c r="F93" s="375"/>
    </row>
    <row r="94" spans="1:6" ht="22.5">
      <c r="A94" s="683"/>
      <c r="B94" s="684"/>
      <c r="C94" s="684"/>
      <c r="D94" s="684"/>
      <c r="E94" s="684"/>
      <c r="F94" s="685"/>
    </row>
    <row r="95" spans="1:6" ht="22.5">
      <c r="A95" s="393"/>
      <c r="B95" s="390"/>
      <c r="C95" s="391"/>
      <c r="D95" s="379"/>
      <c r="E95" s="392"/>
      <c r="F95" s="382"/>
    </row>
    <row r="96" spans="1:6" ht="22.5">
      <c r="A96" s="384"/>
      <c r="B96" s="397"/>
      <c r="C96" s="397"/>
      <c r="D96" s="397"/>
      <c r="E96" s="397"/>
      <c r="F96" s="398"/>
    </row>
    <row r="103" spans="1:6" ht="22.5">
      <c r="A103" s="686" t="s">
        <v>614</v>
      </c>
      <c r="B103" s="686"/>
      <c r="C103" s="686"/>
      <c r="D103" s="686"/>
      <c r="E103" s="686"/>
      <c r="F103" s="686"/>
    </row>
    <row r="104" spans="1:6" ht="22.5">
      <c r="A104" s="686" t="s">
        <v>625</v>
      </c>
      <c r="B104" s="686"/>
      <c r="C104" s="686"/>
      <c r="D104" s="686"/>
      <c r="E104" s="686"/>
      <c r="F104" s="686"/>
    </row>
    <row r="105" spans="1:6" ht="22.5">
      <c r="A105" s="687" t="s">
        <v>320</v>
      </c>
      <c r="B105" s="687"/>
      <c r="C105" s="687"/>
      <c r="D105" s="687"/>
      <c r="E105" s="687"/>
      <c r="F105" s="687"/>
    </row>
    <row r="106" spans="1:6" ht="22.5">
      <c r="A106" s="367" t="s">
        <v>489</v>
      </c>
      <c r="B106" s="367"/>
      <c r="C106" s="367"/>
      <c r="D106" s="367"/>
      <c r="E106" s="367"/>
      <c r="F106" s="367"/>
    </row>
    <row r="107" spans="1:6" ht="22.5">
      <c r="A107" s="368" t="s">
        <v>36</v>
      </c>
      <c r="B107" s="369" t="s">
        <v>35</v>
      </c>
      <c r="C107" s="688" t="s">
        <v>313</v>
      </c>
      <c r="D107" s="689"/>
      <c r="E107" s="690" t="s">
        <v>38</v>
      </c>
      <c r="F107" s="689"/>
    </row>
    <row r="108" spans="1:6" ht="22.5">
      <c r="A108" s="370" t="s">
        <v>628</v>
      </c>
      <c r="B108" s="371"/>
      <c r="C108" s="372">
        <v>15000</v>
      </c>
      <c r="D108" s="373" t="s">
        <v>53</v>
      </c>
      <c r="E108" s="374"/>
      <c r="F108" s="375"/>
    </row>
    <row r="109" spans="1:6" ht="22.5">
      <c r="A109" s="376" t="s">
        <v>335</v>
      </c>
      <c r="B109" s="377" t="s">
        <v>327</v>
      </c>
      <c r="C109" s="378"/>
      <c r="D109" s="379"/>
      <c r="E109" s="380">
        <f>C108</f>
        <v>15000</v>
      </c>
      <c r="F109" s="377" t="s">
        <v>53</v>
      </c>
    </row>
    <row r="110" spans="1:6" ht="22.5">
      <c r="A110" s="370"/>
      <c r="B110" s="377"/>
      <c r="C110" s="378"/>
      <c r="D110" s="379"/>
      <c r="E110" s="381"/>
      <c r="F110" s="382"/>
    </row>
    <row r="111" spans="1:6" ht="22.5">
      <c r="A111" s="370"/>
      <c r="B111" s="377"/>
      <c r="C111" s="381"/>
      <c r="D111" s="379"/>
      <c r="E111" s="381"/>
      <c r="F111" s="382"/>
    </row>
    <row r="112" spans="1:6" ht="22.5">
      <c r="A112" s="370"/>
      <c r="B112" s="377"/>
      <c r="C112" s="381"/>
      <c r="D112" s="379"/>
      <c r="E112" s="381"/>
      <c r="F112" s="382"/>
    </row>
    <row r="113" spans="1:6" ht="22.5">
      <c r="A113" s="370"/>
      <c r="B113" s="377"/>
      <c r="C113" s="381"/>
      <c r="D113" s="379"/>
      <c r="E113" s="381"/>
      <c r="F113" s="382"/>
    </row>
    <row r="114" spans="1:6" ht="22.5">
      <c r="A114" s="383"/>
      <c r="B114" s="377"/>
      <c r="C114" s="378"/>
      <c r="D114" s="379"/>
      <c r="E114" s="381"/>
      <c r="F114" s="382"/>
    </row>
    <row r="115" spans="1:6" ht="22.5">
      <c r="A115" s="370"/>
      <c r="B115" s="377"/>
      <c r="C115" s="378"/>
      <c r="D115" s="379"/>
      <c r="E115" s="381"/>
      <c r="F115" s="382"/>
    </row>
    <row r="116" spans="1:6" ht="22.5">
      <c r="A116" s="370"/>
      <c r="B116" s="377"/>
      <c r="C116" s="370"/>
      <c r="D116" s="379"/>
      <c r="E116" s="378"/>
      <c r="F116" s="382"/>
    </row>
    <row r="117" spans="1:6" ht="22.5">
      <c r="A117" s="384"/>
      <c r="B117" s="385"/>
      <c r="C117" s="386"/>
      <c r="D117" s="387"/>
      <c r="E117" s="388"/>
      <c r="F117" s="387"/>
    </row>
    <row r="118" spans="1:6" ht="22.5">
      <c r="A118" s="389" t="s">
        <v>321</v>
      </c>
      <c r="B118" s="390"/>
      <c r="C118" s="391"/>
      <c r="D118" s="379"/>
      <c r="E118" s="392"/>
      <c r="F118" s="382"/>
    </row>
    <row r="119" spans="1:6" ht="22.5">
      <c r="A119" s="683" t="s">
        <v>626</v>
      </c>
      <c r="B119" s="684"/>
      <c r="C119" s="684"/>
      <c r="D119" s="684"/>
      <c r="E119" s="684"/>
      <c r="F119" s="685"/>
    </row>
    <row r="120" spans="1:6" ht="22.5">
      <c r="A120" s="393" t="s">
        <v>627</v>
      </c>
      <c r="B120" s="390"/>
      <c r="C120" s="391"/>
      <c r="D120" s="379"/>
      <c r="E120" s="392"/>
      <c r="F120" s="382"/>
    </row>
    <row r="121" spans="1:6" ht="22.5">
      <c r="A121" s="394"/>
      <c r="B121" s="395"/>
      <c r="C121" s="391"/>
      <c r="D121" s="379"/>
      <c r="E121" s="392"/>
      <c r="F121" s="382"/>
    </row>
    <row r="122" spans="1:6" ht="22.5">
      <c r="A122" s="394"/>
      <c r="B122" s="395"/>
      <c r="C122" s="391"/>
      <c r="D122" s="379"/>
      <c r="E122" s="392"/>
      <c r="F122" s="382"/>
    </row>
    <row r="123" spans="1:6" ht="22.5">
      <c r="A123" s="394"/>
      <c r="B123" s="395"/>
      <c r="C123" s="391"/>
      <c r="D123" s="379"/>
      <c r="E123" s="392"/>
      <c r="F123" s="382"/>
    </row>
    <row r="124" spans="1:6" ht="22.5">
      <c r="A124" s="396"/>
      <c r="B124" s="390"/>
      <c r="C124" s="391"/>
      <c r="D124" s="379"/>
      <c r="E124" s="392"/>
      <c r="F124" s="382"/>
    </row>
    <row r="125" spans="1:6" ht="22.5">
      <c r="A125" s="396"/>
      <c r="B125" s="390"/>
      <c r="C125" s="391"/>
      <c r="D125" s="379"/>
      <c r="E125" s="392"/>
      <c r="F125" s="382"/>
    </row>
    <row r="126" spans="1:6" ht="22.5">
      <c r="A126" s="393" t="s">
        <v>322</v>
      </c>
      <c r="B126" s="391"/>
      <c r="C126" s="391"/>
      <c r="D126" s="379"/>
      <c r="E126" s="391"/>
      <c r="F126" s="375"/>
    </row>
    <row r="127" spans="1:6" ht="22.5">
      <c r="A127" s="393"/>
      <c r="B127" s="391"/>
      <c r="C127" s="391"/>
      <c r="D127" s="379"/>
      <c r="E127" s="391"/>
      <c r="F127" s="375"/>
    </row>
    <row r="128" spans="1:6" ht="22.5">
      <c r="A128" s="683"/>
      <c r="B128" s="684"/>
      <c r="C128" s="684"/>
      <c r="D128" s="684"/>
      <c r="E128" s="684"/>
      <c r="F128" s="685"/>
    </row>
    <row r="129" spans="1:6" ht="22.5">
      <c r="A129" s="393"/>
      <c r="B129" s="390"/>
      <c r="C129" s="391"/>
      <c r="D129" s="379"/>
      <c r="E129" s="392"/>
      <c r="F129" s="382"/>
    </row>
    <row r="130" spans="1:6" ht="22.5">
      <c r="A130" s="384"/>
      <c r="B130" s="397"/>
      <c r="C130" s="397"/>
      <c r="D130" s="397"/>
      <c r="E130" s="397"/>
      <c r="F130" s="398"/>
    </row>
    <row r="131" spans="1:6" ht="22.5">
      <c r="A131" s="391"/>
      <c r="B131" s="391"/>
      <c r="C131" s="391"/>
      <c r="D131" s="391"/>
      <c r="E131" s="391"/>
      <c r="F131" s="391"/>
    </row>
    <row r="132" spans="1:6" ht="22.5">
      <c r="A132" s="391"/>
      <c r="B132" s="391"/>
      <c r="C132" s="391"/>
      <c r="D132" s="391"/>
      <c r="E132" s="391"/>
      <c r="F132" s="391"/>
    </row>
    <row r="133" spans="1:6" ht="22.5">
      <c r="A133" s="391"/>
      <c r="B133" s="391"/>
      <c r="C133" s="391"/>
      <c r="D133" s="391"/>
      <c r="E133" s="391"/>
      <c r="F133" s="391"/>
    </row>
    <row r="134" spans="1:6" ht="22.5">
      <c r="A134" s="391"/>
      <c r="B134" s="391"/>
      <c r="C134" s="391"/>
      <c r="D134" s="391"/>
      <c r="E134" s="391"/>
      <c r="F134" s="391"/>
    </row>
    <row r="135" spans="1:6" ht="22.5">
      <c r="A135" s="391"/>
      <c r="B135" s="391"/>
      <c r="C135" s="391"/>
      <c r="D135" s="391"/>
      <c r="E135" s="391"/>
      <c r="F135" s="391"/>
    </row>
    <row r="136" spans="1:6" ht="22.5">
      <c r="A136" s="391"/>
      <c r="B136" s="391"/>
      <c r="C136" s="391"/>
      <c r="D136" s="391"/>
      <c r="E136" s="391"/>
      <c r="F136" s="391"/>
    </row>
    <row r="137" spans="1:6" ht="22.5">
      <c r="A137" s="686" t="s">
        <v>614</v>
      </c>
      <c r="B137" s="686"/>
      <c r="C137" s="686"/>
      <c r="D137" s="686"/>
      <c r="E137" s="686"/>
      <c r="F137" s="686"/>
    </row>
    <row r="138" spans="1:6" ht="22.5">
      <c r="A138" s="686" t="s">
        <v>625</v>
      </c>
      <c r="B138" s="686"/>
      <c r="C138" s="686"/>
      <c r="D138" s="686"/>
      <c r="E138" s="686"/>
      <c r="F138" s="686"/>
    </row>
    <row r="139" spans="1:6" ht="22.5">
      <c r="A139" s="687" t="s">
        <v>320</v>
      </c>
      <c r="B139" s="687"/>
      <c r="C139" s="687"/>
      <c r="D139" s="687"/>
      <c r="E139" s="687"/>
      <c r="F139" s="687"/>
    </row>
    <row r="140" spans="1:6" ht="22.5">
      <c r="A140" s="367" t="s">
        <v>489</v>
      </c>
      <c r="B140" s="367"/>
      <c r="C140" s="367"/>
      <c r="D140" s="367"/>
      <c r="E140" s="367"/>
      <c r="F140" s="367"/>
    </row>
    <row r="141" spans="1:6" ht="22.5">
      <c r="A141" s="368" t="s">
        <v>36</v>
      </c>
      <c r="B141" s="369" t="s">
        <v>35</v>
      </c>
      <c r="C141" s="688" t="s">
        <v>313</v>
      </c>
      <c r="D141" s="689"/>
      <c r="E141" s="690" t="s">
        <v>38</v>
      </c>
      <c r="F141" s="689"/>
    </row>
    <row r="142" spans="1:6" ht="22.5">
      <c r="A142" s="370" t="s">
        <v>628</v>
      </c>
      <c r="B142" s="371"/>
      <c r="C142" s="372">
        <v>15000</v>
      </c>
      <c r="D142" s="373" t="s">
        <v>53</v>
      </c>
      <c r="E142" s="374"/>
      <c r="F142" s="375"/>
    </row>
    <row r="143" spans="1:6" ht="22.5">
      <c r="A143" s="376" t="s">
        <v>335</v>
      </c>
      <c r="B143" s="377" t="s">
        <v>327</v>
      </c>
      <c r="C143" s="378"/>
      <c r="D143" s="379"/>
      <c r="E143" s="380">
        <f>C142</f>
        <v>15000</v>
      </c>
      <c r="F143" s="377" t="s">
        <v>53</v>
      </c>
    </row>
    <row r="144" spans="1:6" ht="22.5">
      <c r="A144" s="370"/>
      <c r="B144" s="377"/>
      <c r="C144" s="378"/>
      <c r="D144" s="379"/>
      <c r="E144" s="381"/>
      <c r="F144" s="382"/>
    </row>
    <row r="145" spans="1:6" ht="22.5">
      <c r="A145" s="370"/>
      <c r="B145" s="377"/>
      <c r="C145" s="381"/>
      <c r="D145" s="379"/>
      <c r="E145" s="381"/>
      <c r="F145" s="382"/>
    </row>
    <row r="146" spans="1:6" ht="22.5">
      <c r="A146" s="370"/>
      <c r="B146" s="377"/>
      <c r="C146" s="381"/>
      <c r="D146" s="379"/>
      <c r="E146" s="381"/>
      <c r="F146" s="382"/>
    </row>
    <row r="147" spans="1:6" ht="22.5">
      <c r="A147" s="370"/>
      <c r="B147" s="377"/>
      <c r="C147" s="381"/>
      <c r="D147" s="379"/>
      <c r="E147" s="381"/>
      <c r="F147" s="382"/>
    </row>
    <row r="148" spans="1:6" ht="22.5">
      <c r="A148" s="383"/>
      <c r="B148" s="377"/>
      <c r="C148" s="378"/>
      <c r="D148" s="379"/>
      <c r="E148" s="381"/>
      <c r="F148" s="382"/>
    </row>
    <row r="149" spans="1:6" ht="22.5">
      <c r="A149" s="370"/>
      <c r="B149" s="377"/>
      <c r="C149" s="378"/>
      <c r="D149" s="379"/>
      <c r="E149" s="381"/>
      <c r="F149" s="382"/>
    </row>
    <row r="150" spans="1:6" ht="22.5">
      <c r="A150" s="370"/>
      <c r="B150" s="377"/>
      <c r="C150" s="370"/>
      <c r="D150" s="379"/>
      <c r="E150" s="378"/>
      <c r="F150" s="382"/>
    </row>
    <row r="151" spans="1:6" ht="22.5">
      <c r="A151" s="384"/>
      <c r="B151" s="385"/>
      <c r="C151" s="386"/>
      <c r="D151" s="387"/>
      <c r="E151" s="388"/>
      <c r="F151" s="387"/>
    </row>
    <row r="152" spans="1:6" ht="22.5">
      <c r="A152" s="389" t="s">
        <v>321</v>
      </c>
      <c r="B152" s="390"/>
      <c r="C152" s="391"/>
      <c r="D152" s="379"/>
      <c r="E152" s="392"/>
      <c r="F152" s="382"/>
    </row>
    <row r="153" spans="1:6" ht="22.5">
      <c r="A153" s="683" t="s">
        <v>629</v>
      </c>
      <c r="B153" s="684"/>
      <c r="C153" s="684"/>
      <c r="D153" s="684"/>
      <c r="E153" s="684"/>
      <c r="F153" s="685"/>
    </row>
    <row r="154" spans="1:6" ht="22.5">
      <c r="A154" s="393" t="s">
        <v>630</v>
      </c>
      <c r="B154" s="390"/>
      <c r="C154" s="391"/>
      <c r="D154" s="379"/>
      <c r="E154" s="392"/>
      <c r="F154" s="382"/>
    </row>
    <row r="155" spans="1:6" ht="22.5">
      <c r="A155" s="394"/>
      <c r="B155" s="395"/>
      <c r="C155" s="391"/>
      <c r="D155" s="379"/>
      <c r="E155" s="392"/>
      <c r="F155" s="382"/>
    </row>
    <row r="156" spans="1:6" ht="22.5">
      <c r="A156" s="394"/>
      <c r="B156" s="395"/>
      <c r="C156" s="391"/>
      <c r="D156" s="379"/>
      <c r="E156" s="392"/>
      <c r="F156" s="382"/>
    </row>
    <row r="157" spans="1:6" ht="22.5">
      <c r="A157" s="394"/>
      <c r="B157" s="395"/>
      <c r="C157" s="391"/>
      <c r="D157" s="379"/>
      <c r="E157" s="392"/>
      <c r="F157" s="382"/>
    </row>
    <row r="158" spans="1:6" ht="22.5">
      <c r="A158" s="396"/>
      <c r="B158" s="390"/>
      <c r="C158" s="391"/>
      <c r="D158" s="379"/>
      <c r="E158" s="392"/>
      <c r="F158" s="382"/>
    </row>
    <row r="159" spans="1:6" ht="22.5">
      <c r="A159" s="396"/>
      <c r="B159" s="390"/>
      <c r="C159" s="391"/>
      <c r="D159" s="379"/>
      <c r="E159" s="392"/>
      <c r="F159" s="382"/>
    </row>
    <row r="160" spans="1:6" ht="22.5">
      <c r="A160" s="393" t="s">
        <v>322</v>
      </c>
      <c r="B160" s="391"/>
      <c r="C160" s="391"/>
      <c r="D160" s="379"/>
      <c r="E160" s="391"/>
      <c r="F160" s="375"/>
    </row>
    <row r="161" spans="1:6" ht="22.5">
      <c r="A161" s="393"/>
      <c r="B161" s="391"/>
      <c r="C161" s="391"/>
      <c r="D161" s="379"/>
      <c r="E161" s="391"/>
      <c r="F161" s="375"/>
    </row>
    <row r="162" spans="1:6" ht="22.5">
      <c r="A162" s="683"/>
      <c r="B162" s="684"/>
      <c r="C162" s="684"/>
      <c r="D162" s="684"/>
      <c r="E162" s="684"/>
      <c r="F162" s="685"/>
    </row>
    <row r="163" spans="1:6" ht="22.5">
      <c r="A163" s="393"/>
      <c r="B163" s="390"/>
      <c r="C163" s="391"/>
      <c r="D163" s="379"/>
      <c r="E163" s="392"/>
      <c r="F163" s="382"/>
    </row>
    <row r="164" spans="1:6" ht="22.5">
      <c r="A164" s="384"/>
      <c r="B164" s="397"/>
      <c r="C164" s="397"/>
      <c r="D164" s="397"/>
      <c r="E164" s="397"/>
      <c r="F164" s="398"/>
    </row>
    <row r="165" spans="1:6" ht="22.5">
      <c r="A165" s="391"/>
      <c r="B165" s="391"/>
      <c r="C165" s="391"/>
      <c r="D165" s="391"/>
      <c r="E165" s="391"/>
      <c r="F165" s="391"/>
    </row>
    <row r="166" spans="1:6" ht="22.5">
      <c r="A166" s="391"/>
      <c r="B166" s="391"/>
      <c r="C166" s="391"/>
      <c r="D166" s="391"/>
      <c r="E166" s="391"/>
      <c r="F166" s="391"/>
    </row>
    <row r="167" spans="1:6" ht="22.5">
      <c r="A167" s="391"/>
      <c r="B167" s="391"/>
      <c r="C167" s="391"/>
      <c r="D167" s="391"/>
      <c r="E167" s="391"/>
      <c r="F167" s="391"/>
    </row>
    <row r="168" spans="1:6" ht="22.5">
      <c r="A168" s="391"/>
      <c r="B168" s="391"/>
      <c r="C168" s="391"/>
      <c r="D168" s="391"/>
      <c r="E168" s="391"/>
      <c r="F168" s="391"/>
    </row>
    <row r="169" spans="1:6" ht="22.5">
      <c r="A169" s="391"/>
      <c r="B169" s="391"/>
      <c r="C169" s="391"/>
      <c r="D169" s="391"/>
      <c r="E169" s="391"/>
      <c r="F169" s="391"/>
    </row>
    <row r="170" spans="1:6" ht="22.5">
      <c r="A170" s="391"/>
      <c r="B170" s="391"/>
      <c r="C170" s="391"/>
      <c r="D170" s="391"/>
      <c r="E170" s="391"/>
      <c r="F170" s="391"/>
    </row>
    <row r="171" spans="1:6" ht="22.5">
      <c r="A171" s="686" t="s">
        <v>614</v>
      </c>
      <c r="B171" s="686"/>
      <c r="C171" s="686"/>
      <c r="D171" s="686"/>
      <c r="E171" s="686"/>
      <c r="F171" s="686"/>
    </row>
    <row r="172" spans="1:6" ht="22.5">
      <c r="A172" s="686" t="s">
        <v>625</v>
      </c>
      <c r="B172" s="686"/>
      <c r="C172" s="686"/>
      <c r="D172" s="686"/>
      <c r="E172" s="686"/>
      <c r="F172" s="686"/>
    </row>
    <row r="173" spans="1:6" ht="22.5">
      <c r="A173" s="687" t="s">
        <v>320</v>
      </c>
      <c r="B173" s="687"/>
      <c r="C173" s="687"/>
      <c r="D173" s="687"/>
      <c r="E173" s="687"/>
      <c r="F173" s="687"/>
    </row>
    <row r="174" spans="1:6" ht="22.5">
      <c r="A174" s="367" t="s">
        <v>489</v>
      </c>
      <c r="B174" s="367"/>
      <c r="C174" s="367"/>
      <c r="D174" s="367"/>
      <c r="E174" s="367"/>
      <c r="F174" s="367"/>
    </row>
    <row r="175" spans="1:6" ht="22.5">
      <c r="A175" s="368" t="s">
        <v>36</v>
      </c>
      <c r="B175" s="369" t="s">
        <v>35</v>
      </c>
      <c r="C175" s="688" t="s">
        <v>313</v>
      </c>
      <c r="D175" s="689"/>
      <c r="E175" s="690" t="s">
        <v>38</v>
      </c>
      <c r="F175" s="689"/>
    </row>
    <row r="176" spans="1:6" ht="22.5">
      <c r="A176" s="370" t="s">
        <v>628</v>
      </c>
      <c r="B176" s="371"/>
      <c r="C176" s="372">
        <v>15000</v>
      </c>
      <c r="D176" s="373" t="s">
        <v>53</v>
      </c>
      <c r="E176" s="374"/>
      <c r="F176" s="375"/>
    </row>
    <row r="177" spans="1:6" ht="22.5">
      <c r="A177" s="376" t="s">
        <v>335</v>
      </c>
      <c r="B177" s="377" t="s">
        <v>327</v>
      </c>
      <c r="C177" s="378"/>
      <c r="D177" s="379"/>
      <c r="E177" s="380">
        <f>C176</f>
        <v>15000</v>
      </c>
      <c r="F177" s="377" t="s">
        <v>53</v>
      </c>
    </row>
    <row r="178" spans="1:6" ht="22.5">
      <c r="A178" s="370"/>
      <c r="B178" s="377"/>
      <c r="C178" s="378"/>
      <c r="D178" s="379"/>
      <c r="E178" s="381"/>
      <c r="F178" s="382"/>
    </row>
    <row r="179" spans="1:6" ht="22.5">
      <c r="A179" s="370"/>
      <c r="B179" s="377"/>
      <c r="C179" s="381"/>
      <c r="D179" s="379"/>
      <c r="E179" s="381"/>
      <c r="F179" s="382"/>
    </row>
    <row r="180" spans="1:6" ht="22.5">
      <c r="A180" s="370"/>
      <c r="B180" s="377"/>
      <c r="C180" s="381"/>
      <c r="D180" s="379"/>
      <c r="E180" s="381"/>
      <c r="F180" s="382"/>
    </row>
    <row r="181" spans="1:6" ht="22.5">
      <c r="A181" s="370"/>
      <c r="B181" s="377"/>
      <c r="C181" s="381"/>
      <c r="D181" s="379"/>
      <c r="E181" s="381"/>
      <c r="F181" s="382"/>
    </row>
    <row r="182" spans="1:6" ht="22.5">
      <c r="A182" s="383"/>
      <c r="B182" s="377"/>
      <c r="C182" s="378"/>
      <c r="D182" s="379"/>
      <c r="E182" s="381"/>
      <c r="F182" s="382"/>
    </row>
    <row r="183" spans="1:6" ht="22.5">
      <c r="A183" s="370"/>
      <c r="B183" s="377"/>
      <c r="C183" s="378"/>
      <c r="D183" s="379"/>
      <c r="E183" s="381"/>
      <c r="F183" s="382"/>
    </row>
    <row r="184" spans="1:6" ht="22.5">
      <c r="A184" s="370"/>
      <c r="B184" s="377"/>
      <c r="C184" s="370"/>
      <c r="D184" s="379"/>
      <c r="E184" s="378"/>
      <c r="F184" s="382"/>
    </row>
    <row r="185" spans="1:6" ht="22.5">
      <c r="A185" s="384"/>
      <c r="B185" s="385"/>
      <c r="C185" s="386"/>
      <c r="D185" s="387"/>
      <c r="E185" s="388"/>
      <c r="F185" s="387"/>
    </row>
    <row r="186" spans="1:6" ht="22.5">
      <c r="A186" s="389" t="s">
        <v>321</v>
      </c>
      <c r="B186" s="390"/>
      <c r="C186" s="391"/>
      <c r="D186" s="379"/>
      <c r="E186" s="392"/>
      <c r="F186" s="382"/>
    </row>
    <row r="187" spans="1:6" ht="22.5">
      <c r="A187" s="683" t="s">
        <v>631</v>
      </c>
      <c r="B187" s="684"/>
      <c r="C187" s="684"/>
      <c r="D187" s="684"/>
      <c r="E187" s="684"/>
      <c r="F187" s="685"/>
    </row>
    <row r="188" spans="1:6" ht="22.5">
      <c r="A188" s="393" t="s">
        <v>632</v>
      </c>
      <c r="B188" s="390"/>
      <c r="C188" s="391"/>
      <c r="D188" s="379"/>
      <c r="E188" s="392"/>
      <c r="F188" s="382"/>
    </row>
    <row r="189" spans="1:6" ht="22.5">
      <c r="A189" s="394"/>
      <c r="B189" s="395"/>
      <c r="C189" s="391"/>
      <c r="D189" s="379"/>
      <c r="E189" s="392"/>
      <c r="F189" s="382"/>
    </row>
    <row r="190" spans="1:6" ht="22.5">
      <c r="A190" s="394"/>
      <c r="B190" s="395"/>
      <c r="C190" s="391"/>
      <c r="D190" s="379"/>
      <c r="E190" s="392"/>
      <c r="F190" s="382"/>
    </row>
    <row r="191" spans="1:6" ht="22.5">
      <c r="A191" s="394"/>
      <c r="B191" s="395"/>
      <c r="C191" s="391"/>
      <c r="D191" s="379"/>
      <c r="E191" s="392"/>
      <c r="F191" s="382"/>
    </row>
    <row r="192" spans="1:6" ht="22.5">
      <c r="A192" s="396"/>
      <c r="B192" s="390"/>
      <c r="C192" s="391"/>
      <c r="D192" s="379"/>
      <c r="E192" s="392"/>
      <c r="F192" s="382"/>
    </row>
    <row r="193" spans="1:6" ht="22.5">
      <c r="A193" s="396"/>
      <c r="B193" s="390"/>
      <c r="C193" s="391"/>
      <c r="D193" s="379"/>
      <c r="E193" s="392"/>
      <c r="F193" s="382"/>
    </row>
    <row r="194" spans="1:6" ht="22.5">
      <c r="A194" s="393" t="s">
        <v>322</v>
      </c>
      <c r="B194" s="391"/>
      <c r="C194" s="391"/>
      <c r="D194" s="379"/>
      <c r="E194" s="391"/>
      <c r="F194" s="375"/>
    </row>
    <row r="195" spans="1:6" ht="22.5">
      <c r="A195" s="393"/>
      <c r="B195" s="391"/>
      <c r="C195" s="391"/>
      <c r="D195" s="379"/>
      <c r="E195" s="391"/>
      <c r="F195" s="375"/>
    </row>
    <row r="196" spans="1:6" ht="22.5">
      <c r="A196" s="683"/>
      <c r="B196" s="684"/>
      <c r="C196" s="684"/>
      <c r="D196" s="684"/>
      <c r="E196" s="684"/>
      <c r="F196" s="685"/>
    </row>
    <row r="197" spans="1:6" ht="22.5">
      <c r="A197" s="393"/>
      <c r="B197" s="390"/>
      <c r="C197" s="391"/>
      <c r="D197" s="379"/>
      <c r="E197" s="392"/>
      <c r="F197" s="382"/>
    </row>
    <row r="198" spans="1:6" ht="22.5">
      <c r="A198" s="384"/>
      <c r="B198" s="397"/>
      <c r="C198" s="397"/>
      <c r="D198" s="397"/>
      <c r="E198" s="397"/>
      <c r="F198" s="398"/>
    </row>
    <row r="199" spans="1:6" ht="22.5">
      <c r="A199" s="391"/>
      <c r="B199" s="391"/>
      <c r="C199" s="391"/>
      <c r="D199" s="391"/>
      <c r="E199" s="391"/>
      <c r="F199" s="391"/>
    </row>
    <row r="200" spans="1:6" ht="22.5">
      <c r="A200" s="391"/>
      <c r="B200" s="391"/>
      <c r="C200" s="391"/>
      <c r="D200" s="391"/>
      <c r="E200" s="391"/>
      <c r="F200" s="391"/>
    </row>
    <row r="201" spans="1:6" ht="22.5">
      <c r="A201" s="391"/>
      <c r="B201" s="391"/>
      <c r="C201" s="391"/>
      <c r="D201" s="391"/>
      <c r="E201" s="391"/>
      <c r="F201" s="391"/>
    </row>
    <row r="202" spans="1:6" ht="22.5">
      <c r="A202" s="391"/>
      <c r="B202" s="391"/>
      <c r="C202" s="391"/>
      <c r="D202" s="391"/>
      <c r="E202" s="391"/>
      <c r="F202" s="391"/>
    </row>
    <row r="203" spans="1:6" ht="22.5">
      <c r="A203" s="391"/>
      <c r="B203" s="391"/>
      <c r="C203" s="391"/>
      <c r="D203" s="391"/>
      <c r="E203" s="391"/>
      <c r="F203" s="391"/>
    </row>
    <row r="204" spans="1:6" ht="22.5">
      <c r="A204" s="391"/>
      <c r="B204" s="391"/>
      <c r="C204" s="391"/>
      <c r="D204" s="391"/>
      <c r="E204" s="391"/>
      <c r="F204" s="391"/>
    </row>
    <row r="205" spans="1:6" ht="22.5">
      <c r="A205" s="686" t="s">
        <v>614</v>
      </c>
      <c r="B205" s="686"/>
      <c r="C205" s="686"/>
      <c r="D205" s="686"/>
      <c r="E205" s="686"/>
      <c r="F205" s="686"/>
    </row>
    <row r="206" spans="1:6" ht="22.5">
      <c r="A206" s="686" t="s">
        <v>625</v>
      </c>
      <c r="B206" s="686"/>
      <c r="C206" s="686"/>
      <c r="D206" s="686"/>
      <c r="E206" s="686"/>
      <c r="F206" s="686"/>
    </row>
    <row r="207" spans="1:6" ht="22.5">
      <c r="A207" s="687" t="s">
        <v>320</v>
      </c>
      <c r="B207" s="687"/>
      <c r="C207" s="687"/>
      <c r="D207" s="687"/>
      <c r="E207" s="687"/>
      <c r="F207" s="687"/>
    </row>
    <row r="208" spans="1:6" ht="22.5">
      <c r="A208" s="367" t="s">
        <v>489</v>
      </c>
      <c r="B208" s="367"/>
      <c r="C208" s="367"/>
      <c r="D208" s="367"/>
      <c r="E208" s="367"/>
      <c r="F208" s="367"/>
    </row>
    <row r="209" spans="1:6" ht="22.5">
      <c r="A209" s="368" t="s">
        <v>36</v>
      </c>
      <c r="B209" s="369" t="s">
        <v>35</v>
      </c>
      <c r="C209" s="688" t="s">
        <v>313</v>
      </c>
      <c r="D209" s="689"/>
      <c r="E209" s="690" t="s">
        <v>38</v>
      </c>
      <c r="F209" s="689"/>
    </row>
    <row r="210" spans="1:6" ht="22.5">
      <c r="A210" s="370" t="s">
        <v>628</v>
      </c>
      <c r="B210" s="371"/>
      <c r="C210" s="372">
        <v>1080</v>
      </c>
      <c r="D210" s="373" t="s">
        <v>53</v>
      </c>
      <c r="E210" s="374"/>
      <c r="F210" s="375"/>
    </row>
    <row r="211" spans="1:6" ht="22.5">
      <c r="A211" s="376" t="s">
        <v>335</v>
      </c>
      <c r="B211" s="377" t="s">
        <v>327</v>
      </c>
      <c r="C211" s="378"/>
      <c r="D211" s="379"/>
      <c r="E211" s="380">
        <f>C210</f>
        <v>1080</v>
      </c>
      <c r="F211" s="377" t="s">
        <v>53</v>
      </c>
    </row>
    <row r="212" spans="1:6" ht="22.5">
      <c r="A212" s="370"/>
      <c r="B212" s="377"/>
      <c r="C212" s="378"/>
      <c r="D212" s="379"/>
      <c r="E212" s="381"/>
      <c r="F212" s="382"/>
    </row>
    <row r="213" spans="1:6" ht="22.5">
      <c r="A213" s="370"/>
      <c r="B213" s="377"/>
      <c r="C213" s="381"/>
      <c r="D213" s="379"/>
      <c r="E213" s="381"/>
      <c r="F213" s="382"/>
    </row>
    <row r="214" spans="1:6" ht="22.5">
      <c r="A214" s="370"/>
      <c r="B214" s="377"/>
      <c r="C214" s="381"/>
      <c r="D214" s="379"/>
      <c r="E214" s="381"/>
      <c r="F214" s="382"/>
    </row>
    <row r="215" spans="1:6" ht="22.5">
      <c r="A215" s="370"/>
      <c r="B215" s="377"/>
      <c r="C215" s="381"/>
      <c r="D215" s="379"/>
      <c r="E215" s="381"/>
      <c r="F215" s="382"/>
    </row>
    <row r="216" spans="1:6" ht="22.5">
      <c r="A216" s="383"/>
      <c r="B216" s="377"/>
      <c r="C216" s="378"/>
      <c r="D216" s="379"/>
      <c r="E216" s="381"/>
      <c r="F216" s="382"/>
    </row>
    <row r="217" spans="1:6" ht="22.5">
      <c r="A217" s="370"/>
      <c r="B217" s="377"/>
      <c r="C217" s="378"/>
      <c r="D217" s="379"/>
      <c r="E217" s="381"/>
      <c r="F217" s="382"/>
    </row>
    <row r="218" spans="1:6" ht="22.5">
      <c r="A218" s="370"/>
      <c r="B218" s="377"/>
      <c r="C218" s="370"/>
      <c r="D218" s="379"/>
      <c r="E218" s="378"/>
      <c r="F218" s="382"/>
    </row>
    <row r="219" spans="1:6" ht="22.5">
      <c r="A219" s="384"/>
      <c r="B219" s="385"/>
      <c r="C219" s="386"/>
      <c r="D219" s="387"/>
      <c r="E219" s="388"/>
      <c r="F219" s="387"/>
    </row>
    <row r="220" spans="1:6" ht="22.5">
      <c r="A220" s="389" t="s">
        <v>321</v>
      </c>
      <c r="B220" s="390"/>
      <c r="C220" s="391"/>
      <c r="D220" s="379"/>
      <c r="E220" s="392"/>
      <c r="F220" s="382"/>
    </row>
    <row r="221" spans="1:6" ht="22.5">
      <c r="A221" s="683" t="s">
        <v>633</v>
      </c>
      <c r="B221" s="684"/>
      <c r="C221" s="684"/>
      <c r="D221" s="684"/>
      <c r="E221" s="684"/>
      <c r="F221" s="685"/>
    </row>
    <row r="222" spans="1:6" ht="22.5">
      <c r="A222" s="393" t="s">
        <v>634</v>
      </c>
      <c r="B222" s="390"/>
      <c r="C222" s="391"/>
      <c r="D222" s="379"/>
      <c r="E222" s="392"/>
      <c r="F222" s="382"/>
    </row>
    <row r="223" spans="1:6" ht="22.5">
      <c r="A223" s="394"/>
      <c r="B223" s="395"/>
      <c r="C223" s="391"/>
      <c r="D223" s="379"/>
      <c r="E223" s="392"/>
      <c r="F223" s="382"/>
    </row>
    <row r="224" spans="1:6" ht="22.5">
      <c r="A224" s="394"/>
      <c r="B224" s="395"/>
      <c r="C224" s="391"/>
      <c r="D224" s="379"/>
      <c r="E224" s="392"/>
      <c r="F224" s="382"/>
    </row>
    <row r="225" spans="1:6" ht="22.5">
      <c r="A225" s="394"/>
      <c r="B225" s="395"/>
      <c r="C225" s="391"/>
      <c r="D225" s="379"/>
      <c r="E225" s="392"/>
      <c r="F225" s="382"/>
    </row>
    <row r="226" spans="1:6" ht="22.5">
      <c r="A226" s="396"/>
      <c r="B226" s="390"/>
      <c r="C226" s="391"/>
      <c r="D226" s="379"/>
      <c r="E226" s="392"/>
      <c r="F226" s="382"/>
    </row>
    <row r="227" spans="1:6" ht="22.5">
      <c r="A227" s="396"/>
      <c r="B227" s="390"/>
      <c r="C227" s="391"/>
      <c r="D227" s="379"/>
      <c r="E227" s="392"/>
      <c r="F227" s="382"/>
    </row>
    <row r="228" spans="1:6" ht="22.5">
      <c r="A228" s="393" t="s">
        <v>322</v>
      </c>
      <c r="B228" s="391"/>
      <c r="C228" s="391"/>
      <c r="D228" s="379"/>
      <c r="E228" s="391"/>
      <c r="F228" s="375"/>
    </row>
    <row r="229" spans="1:6" ht="22.5">
      <c r="A229" s="393"/>
      <c r="B229" s="391"/>
      <c r="C229" s="391"/>
      <c r="D229" s="379"/>
      <c r="E229" s="391"/>
      <c r="F229" s="375"/>
    </row>
    <row r="230" spans="1:6" ht="22.5">
      <c r="A230" s="683"/>
      <c r="B230" s="684"/>
      <c r="C230" s="684"/>
      <c r="D230" s="684"/>
      <c r="E230" s="684"/>
      <c r="F230" s="685"/>
    </row>
    <row r="231" spans="1:6" ht="22.5">
      <c r="A231" s="393"/>
      <c r="B231" s="390"/>
      <c r="C231" s="391"/>
      <c r="D231" s="379"/>
      <c r="E231" s="392"/>
      <c r="F231" s="382"/>
    </row>
    <row r="232" spans="1:6" ht="22.5">
      <c r="A232" s="384"/>
      <c r="B232" s="397"/>
      <c r="C232" s="397"/>
      <c r="D232" s="397"/>
      <c r="E232" s="397"/>
      <c r="F232" s="398"/>
    </row>
    <row r="233" spans="1:6" ht="22.5">
      <c r="A233" s="391"/>
      <c r="B233" s="391"/>
      <c r="C233" s="391"/>
      <c r="D233" s="391"/>
      <c r="E233" s="391"/>
      <c r="F233" s="391"/>
    </row>
    <row r="234" spans="1:6" ht="22.5">
      <c r="A234" s="391"/>
      <c r="B234" s="391"/>
      <c r="C234" s="391"/>
      <c r="D234" s="391"/>
      <c r="E234" s="391"/>
      <c r="F234" s="391"/>
    </row>
    <row r="235" spans="1:6" ht="22.5">
      <c r="A235" s="391"/>
      <c r="B235" s="391"/>
      <c r="C235" s="391"/>
      <c r="D235" s="391"/>
      <c r="E235" s="391"/>
      <c r="F235" s="391"/>
    </row>
    <row r="236" spans="1:6" ht="22.5">
      <c r="A236" s="391"/>
      <c r="B236" s="391"/>
      <c r="C236" s="391"/>
      <c r="D236" s="391"/>
      <c r="E236" s="391"/>
      <c r="F236" s="391"/>
    </row>
    <row r="237" spans="1:6" ht="22.5">
      <c r="A237" s="391"/>
      <c r="B237" s="391"/>
      <c r="C237" s="391"/>
      <c r="D237" s="391"/>
      <c r="E237" s="391"/>
      <c r="F237" s="391"/>
    </row>
    <row r="238" spans="1:6" ht="22.5">
      <c r="A238" s="391"/>
      <c r="B238" s="391"/>
      <c r="C238" s="391"/>
      <c r="D238" s="391"/>
      <c r="E238" s="391"/>
      <c r="F238" s="391"/>
    </row>
    <row r="239" spans="1:6" ht="22.5">
      <c r="A239" s="686" t="s">
        <v>614</v>
      </c>
      <c r="B239" s="686"/>
      <c r="C239" s="686"/>
      <c r="D239" s="686"/>
      <c r="E239" s="686"/>
      <c r="F239" s="686"/>
    </row>
    <row r="240" spans="1:6" ht="22.5">
      <c r="A240" s="686" t="s">
        <v>613</v>
      </c>
      <c r="B240" s="686"/>
      <c r="C240" s="686"/>
      <c r="D240" s="686"/>
      <c r="E240" s="686"/>
      <c r="F240" s="686"/>
    </row>
    <row r="241" spans="1:6" ht="22.5">
      <c r="A241" s="687" t="s">
        <v>320</v>
      </c>
      <c r="B241" s="687"/>
      <c r="C241" s="687"/>
      <c r="D241" s="687"/>
      <c r="E241" s="687"/>
      <c r="F241" s="687"/>
    </row>
    <row r="242" spans="1:6" ht="22.5">
      <c r="A242" s="367" t="s">
        <v>489</v>
      </c>
      <c r="B242" s="367"/>
      <c r="C242" s="367"/>
      <c r="D242" s="367"/>
      <c r="E242" s="367"/>
      <c r="F242" s="367"/>
    </row>
    <row r="243" spans="1:6" ht="22.5">
      <c r="A243" s="368" t="s">
        <v>36</v>
      </c>
      <c r="B243" s="369" t="s">
        <v>35</v>
      </c>
      <c r="C243" s="688" t="s">
        <v>313</v>
      </c>
      <c r="D243" s="689"/>
      <c r="E243" s="690" t="s">
        <v>38</v>
      </c>
      <c r="F243" s="689"/>
    </row>
    <row r="244" spans="1:6" ht="22.5">
      <c r="A244" s="370" t="s">
        <v>615</v>
      </c>
      <c r="B244" s="371"/>
      <c r="C244" s="372">
        <v>501400</v>
      </c>
      <c r="D244" s="373" t="s">
        <v>53</v>
      </c>
      <c r="E244" s="374"/>
      <c r="F244" s="375"/>
    </row>
    <row r="245" spans="1:6" ht="22.5">
      <c r="A245" s="370" t="s">
        <v>615</v>
      </c>
      <c r="B245" s="377"/>
      <c r="C245" s="380">
        <v>119300</v>
      </c>
      <c r="D245" s="373"/>
      <c r="E245" s="370"/>
      <c r="F245" s="375"/>
    </row>
    <row r="246" spans="1:6" ht="22.5">
      <c r="A246" s="370" t="s">
        <v>616</v>
      </c>
      <c r="B246" s="377"/>
      <c r="C246" s="380">
        <v>23000</v>
      </c>
      <c r="D246" s="373"/>
      <c r="E246" s="370"/>
      <c r="F246" s="375"/>
    </row>
    <row r="247" spans="1:6" ht="22.5">
      <c r="A247" s="370" t="s">
        <v>616</v>
      </c>
      <c r="B247" s="377"/>
      <c r="C247" s="380">
        <v>56000</v>
      </c>
      <c r="D247" s="373"/>
      <c r="E247" s="370"/>
      <c r="F247" s="375"/>
    </row>
    <row r="248" spans="1:6" ht="22.5">
      <c r="A248" s="370" t="s">
        <v>48</v>
      </c>
      <c r="B248" s="377"/>
      <c r="C248" s="380">
        <v>19000</v>
      </c>
      <c r="D248" s="373"/>
      <c r="E248" s="370"/>
      <c r="F248" s="375"/>
    </row>
    <row r="249" spans="1:6" ht="22.5">
      <c r="A249" s="370" t="s">
        <v>48</v>
      </c>
      <c r="B249" s="377"/>
      <c r="C249" s="380">
        <v>13000</v>
      </c>
      <c r="D249" s="373"/>
      <c r="E249" s="370"/>
      <c r="F249" s="375"/>
    </row>
    <row r="250" spans="1:6" ht="22.5">
      <c r="A250" s="376" t="s">
        <v>335</v>
      </c>
      <c r="B250" s="377" t="s">
        <v>327</v>
      </c>
      <c r="C250" s="378"/>
      <c r="D250" s="379"/>
      <c r="E250" s="380">
        <f>C249+C244+C245+C246+C247+C248</f>
        <v>731700</v>
      </c>
      <c r="F250" s="377" t="s">
        <v>53</v>
      </c>
    </row>
    <row r="251" spans="1:6" ht="22.5">
      <c r="A251" s="370"/>
      <c r="B251" s="377"/>
      <c r="C251" s="378"/>
      <c r="D251" s="379"/>
      <c r="E251" s="381"/>
      <c r="F251" s="382"/>
    </row>
    <row r="252" spans="1:6" ht="22.5">
      <c r="A252" s="370"/>
      <c r="B252" s="377"/>
      <c r="C252" s="381"/>
      <c r="D252" s="379"/>
      <c r="E252" s="381"/>
      <c r="F252" s="382"/>
    </row>
    <row r="253" spans="1:6" ht="22.5">
      <c r="A253" s="370"/>
      <c r="B253" s="377"/>
      <c r="C253" s="381"/>
      <c r="D253" s="379"/>
      <c r="E253" s="381"/>
      <c r="F253" s="382"/>
    </row>
    <row r="254" spans="1:6" ht="22.5">
      <c r="A254" s="370"/>
      <c r="B254" s="377"/>
      <c r="C254" s="381"/>
      <c r="D254" s="379"/>
      <c r="E254" s="381"/>
      <c r="F254" s="382"/>
    </row>
    <row r="255" spans="1:6" ht="22.5">
      <c r="A255" s="383"/>
      <c r="B255" s="377"/>
      <c r="C255" s="378"/>
      <c r="D255" s="379"/>
      <c r="E255" s="381"/>
      <c r="F255" s="382"/>
    </row>
    <row r="256" spans="1:6" ht="22.5">
      <c r="A256" s="370"/>
      <c r="B256" s="377"/>
      <c r="C256" s="378"/>
      <c r="D256" s="379"/>
      <c r="E256" s="381"/>
      <c r="F256" s="382"/>
    </row>
    <row r="257" spans="1:6" ht="22.5">
      <c r="A257" s="370"/>
      <c r="B257" s="377"/>
      <c r="C257" s="370"/>
      <c r="D257" s="379"/>
      <c r="E257" s="378"/>
      <c r="F257" s="382"/>
    </row>
    <row r="258" spans="1:6" ht="22.5">
      <c r="A258" s="384"/>
      <c r="B258" s="385"/>
      <c r="C258" s="386"/>
      <c r="D258" s="387"/>
      <c r="E258" s="388"/>
      <c r="F258" s="387"/>
    </row>
    <row r="259" spans="1:6" ht="22.5">
      <c r="A259" s="389" t="s">
        <v>321</v>
      </c>
      <c r="B259" s="390"/>
      <c r="C259" s="391"/>
      <c r="D259" s="379"/>
      <c r="E259" s="392"/>
      <c r="F259" s="382"/>
    </row>
    <row r="260" spans="1:6" ht="22.5">
      <c r="A260" s="683" t="s">
        <v>635</v>
      </c>
      <c r="B260" s="684"/>
      <c r="C260" s="684"/>
      <c r="D260" s="684"/>
      <c r="E260" s="684"/>
      <c r="F260" s="685"/>
    </row>
    <row r="261" spans="1:6" ht="22.5">
      <c r="A261" s="559" t="s">
        <v>618</v>
      </c>
      <c r="B261" s="390"/>
      <c r="C261" s="560">
        <f>+C246+C247</f>
        <v>79000</v>
      </c>
      <c r="D261" s="379"/>
      <c r="E261" s="392" t="s">
        <v>54</v>
      </c>
      <c r="F261" s="382"/>
    </row>
    <row r="262" spans="1:6" ht="22.5">
      <c r="A262" s="559" t="s">
        <v>619</v>
      </c>
      <c r="B262" s="395"/>
      <c r="C262" s="560">
        <f>+C244+C245</f>
        <v>620700</v>
      </c>
      <c r="D262" s="379"/>
      <c r="E262" s="392" t="s">
        <v>54</v>
      </c>
      <c r="F262" s="382"/>
    </row>
    <row r="263" spans="1:6" ht="22.5">
      <c r="A263" s="559" t="s">
        <v>620</v>
      </c>
      <c r="B263" s="395"/>
      <c r="C263" s="560">
        <f>+C248+C249</f>
        <v>32000</v>
      </c>
      <c r="D263" s="379"/>
      <c r="E263" s="392" t="s">
        <v>54</v>
      </c>
      <c r="F263" s="382"/>
    </row>
    <row r="264" spans="1:6" ht="22.5">
      <c r="A264" s="393" t="s">
        <v>636</v>
      </c>
      <c r="B264" s="395"/>
      <c r="C264" s="391"/>
      <c r="D264" s="379"/>
      <c r="E264" s="392"/>
      <c r="F264" s="382"/>
    </row>
    <row r="265" spans="1:6" ht="22.5">
      <c r="A265" s="396"/>
      <c r="B265" s="390"/>
      <c r="C265" s="391"/>
      <c r="D265" s="379"/>
      <c r="E265" s="392"/>
      <c r="F265" s="382"/>
    </row>
    <row r="266" spans="1:6" ht="22.5">
      <c r="A266" s="393" t="s">
        <v>322</v>
      </c>
      <c r="B266" s="391"/>
      <c r="C266" s="391"/>
      <c r="D266" s="379"/>
      <c r="E266" s="391"/>
      <c r="F266" s="375"/>
    </row>
    <row r="267" spans="1:6" ht="22.5">
      <c r="A267" s="393"/>
      <c r="B267" s="391"/>
      <c r="C267" s="391"/>
      <c r="D267" s="379"/>
      <c r="E267" s="391"/>
      <c r="F267" s="375"/>
    </row>
    <row r="268" spans="1:6" ht="22.5">
      <c r="A268" s="683"/>
      <c r="B268" s="684"/>
      <c r="C268" s="684"/>
      <c r="D268" s="684"/>
      <c r="E268" s="684"/>
      <c r="F268" s="685"/>
    </row>
    <row r="269" spans="1:6" ht="22.5">
      <c r="A269" s="393"/>
      <c r="B269" s="390"/>
      <c r="C269" s="391"/>
      <c r="D269" s="379"/>
      <c r="E269" s="392"/>
      <c r="F269" s="382"/>
    </row>
    <row r="270" spans="1:6" ht="22.5">
      <c r="A270" s="384"/>
      <c r="B270" s="397"/>
      <c r="C270" s="397"/>
      <c r="D270" s="397"/>
      <c r="E270" s="397"/>
      <c r="F270" s="398"/>
    </row>
    <row r="271" spans="1:6" ht="22.5">
      <c r="A271" s="391"/>
      <c r="B271" s="391"/>
      <c r="C271" s="391"/>
      <c r="D271" s="391"/>
      <c r="E271" s="391"/>
      <c r="F271" s="391"/>
    </row>
    <row r="272" spans="1:6" ht="22.5">
      <c r="A272" s="391"/>
      <c r="B272" s="391"/>
      <c r="C272" s="391"/>
      <c r="D272" s="391"/>
      <c r="E272" s="391"/>
      <c r="F272" s="391"/>
    </row>
    <row r="273" spans="1:6" ht="22.5">
      <c r="A273" s="686" t="s">
        <v>614</v>
      </c>
      <c r="B273" s="686"/>
      <c r="C273" s="686"/>
      <c r="D273" s="686"/>
      <c r="E273" s="686"/>
      <c r="F273" s="686"/>
    </row>
    <row r="274" spans="1:6" ht="22.5">
      <c r="A274" s="686" t="s">
        <v>625</v>
      </c>
      <c r="B274" s="686"/>
      <c r="C274" s="686"/>
      <c r="D274" s="686"/>
      <c r="E274" s="686"/>
      <c r="F274" s="686"/>
    </row>
    <row r="275" spans="1:6" ht="22.5">
      <c r="A275" s="687" t="s">
        <v>320</v>
      </c>
      <c r="B275" s="687"/>
      <c r="C275" s="687"/>
      <c r="D275" s="687"/>
      <c r="E275" s="687"/>
      <c r="F275" s="687"/>
    </row>
    <row r="276" spans="1:6" ht="22.5">
      <c r="A276" s="367" t="s">
        <v>489</v>
      </c>
      <c r="B276" s="367"/>
      <c r="C276" s="367"/>
      <c r="D276" s="367"/>
      <c r="E276" s="367"/>
      <c r="F276" s="367"/>
    </row>
    <row r="277" spans="1:6" ht="22.5">
      <c r="A277" s="368" t="s">
        <v>36</v>
      </c>
      <c r="B277" s="369" t="s">
        <v>35</v>
      </c>
      <c r="C277" s="688" t="s">
        <v>313</v>
      </c>
      <c r="D277" s="689"/>
      <c r="E277" s="690" t="s">
        <v>38</v>
      </c>
      <c r="F277" s="689"/>
    </row>
    <row r="278" spans="1:6" ht="22.5">
      <c r="A278" s="370" t="s">
        <v>622</v>
      </c>
      <c r="B278" s="371"/>
      <c r="C278" s="372">
        <v>27000</v>
      </c>
      <c r="D278" s="373" t="s">
        <v>53</v>
      </c>
      <c r="E278" s="374"/>
      <c r="F278" s="375"/>
    </row>
    <row r="279" spans="1:6" ht="22.5">
      <c r="A279" s="376" t="s">
        <v>335</v>
      </c>
      <c r="B279" s="377" t="s">
        <v>327</v>
      </c>
      <c r="C279" s="378"/>
      <c r="D279" s="379"/>
      <c r="E279" s="380">
        <f>C278</f>
        <v>27000</v>
      </c>
      <c r="F279" s="377" t="s">
        <v>53</v>
      </c>
    </row>
    <row r="280" spans="1:6" ht="22.5">
      <c r="A280" s="370"/>
      <c r="B280" s="377"/>
      <c r="C280" s="378"/>
      <c r="D280" s="379"/>
      <c r="E280" s="381"/>
      <c r="F280" s="382"/>
    </row>
    <row r="281" spans="1:6" ht="22.5">
      <c r="A281" s="370"/>
      <c r="B281" s="377"/>
      <c r="C281" s="381"/>
      <c r="D281" s="379"/>
      <c r="E281" s="381"/>
      <c r="F281" s="382"/>
    </row>
    <row r="282" spans="1:6" ht="22.5">
      <c r="A282" s="370"/>
      <c r="B282" s="377"/>
      <c r="C282" s="381"/>
      <c r="D282" s="379"/>
      <c r="E282" s="381"/>
      <c r="F282" s="382"/>
    </row>
    <row r="283" spans="1:6" ht="22.5">
      <c r="A283" s="370"/>
      <c r="B283" s="377"/>
      <c r="C283" s="381"/>
      <c r="D283" s="379"/>
      <c r="E283" s="381"/>
      <c r="F283" s="382"/>
    </row>
    <row r="284" spans="1:6" ht="22.5">
      <c r="A284" s="383"/>
      <c r="B284" s="377"/>
      <c r="C284" s="378"/>
      <c r="D284" s="379"/>
      <c r="E284" s="381"/>
      <c r="F284" s="382"/>
    </row>
    <row r="285" spans="1:6" ht="22.5">
      <c r="A285" s="370"/>
      <c r="B285" s="377"/>
      <c r="C285" s="378"/>
      <c r="D285" s="379"/>
      <c r="E285" s="381"/>
      <c r="F285" s="382"/>
    </row>
    <row r="286" spans="1:6" ht="22.5">
      <c r="A286" s="370"/>
      <c r="B286" s="377"/>
      <c r="C286" s="370"/>
      <c r="D286" s="379"/>
      <c r="E286" s="378"/>
      <c r="F286" s="382"/>
    </row>
    <row r="287" spans="1:6" ht="22.5">
      <c r="A287" s="384"/>
      <c r="B287" s="385"/>
      <c r="C287" s="386"/>
      <c r="D287" s="387"/>
      <c r="E287" s="388"/>
      <c r="F287" s="387"/>
    </row>
    <row r="288" spans="1:6" ht="22.5">
      <c r="A288" s="389" t="s">
        <v>321</v>
      </c>
      <c r="B288" s="390"/>
      <c r="C288" s="391"/>
      <c r="D288" s="379"/>
      <c r="E288" s="392"/>
      <c r="F288" s="382"/>
    </row>
    <row r="289" spans="1:6" ht="22.5">
      <c r="A289" s="683" t="s">
        <v>637</v>
      </c>
      <c r="B289" s="684"/>
      <c r="C289" s="684"/>
      <c r="D289" s="684"/>
      <c r="E289" s="684"/>
      <c r="F289" s="685"/>
    </row>
    <row r="290" spans="1:6" ht="22.5">
      <c r="A290" s="393" t="s">
        <v>638</v>
      </c>
      <c r="B290" s="390"/>
      <c r="C290" s="391"/>
      <c r="D290" s="379"/>
      <c r="E290" s="392"/>
      <c r="F290" s="382"/>
    </row>
    <row r="291" spans="1:6" ht="22.5">
      <c r="A291" s="394"/>
      <c r="B291" s="395"/>
      <c r="C291" s="391"/>
      <c r="D291" s="379"/>
      <c r="E291" s="392"/>
      <c r="F291" s="382"/>
    </row>
    <row r="292" spans="1:6" ht="22.5">
      <c r="A292" s="394"/>
      <c r="B292" s="395"/>
      <c r="C292" s="391"/>
      <c r="D292" s="379"/>
      <c r="E292" s="392"/>
      <c r="F292" s="382"/>
    </row>
    <row r="293" spans="1:6" ht="22.5">
      <c r="A293" s="394"/>
      <c r="B293" s="395"/>
      <c r="C293" s="391"/>
      <c r="D293" s="379"/>
      <c r="E293" s="392"/>
      <c r="F293" s="382"/>
    </row>
    <row r="294" spans="1:6" ht="22.5">
      <c r="A294" s="396"/>
      <c r="B294" s="390"/>
      <c r="C294" s="391"/>
      <c r="D294" s="379"/>
      <c r="E294" s="392"/>
      <c r="F294" s="382"/>
    </row>
    <row r="295" spans="1:6" ht="22.5">
      <c r="A295" s="396"/>
      <c r="B295" s="390"/>
      <c r="C295" s="391"/>
      <c r="D295" s="379"/>
      <c r="E295" s="392"/>
      <c r="F295" s="382"/>
    </row>
    <row r="296" spans="1:6" ht="22.5">
      <c r="A296" s="393" t="s">
        <v>322</v>
      </c>
      <c r="B296" s="391"/>
      <c r="C296" s="391"/>
      <c r="D296" s="379"/>
      <c r="E296" s="391"/>
      <c r="F296" s="375"/>
    </row>
    <row r="297" spans="1:6" ht="22.5">
      <c r="A297" s="393"/>
      <c r="B297" s="391"/>
      <c r="C297" s="391"/>
      <c r="D297" s="379"/>
      <c r="E297" s="391"/>
      <c r="F297" s="375"/>
    </row>
    <row r="298" spans="1:6" ht="22.5">
      <c r="A298" s="683"/>
      <c r="B298" s="684"/>
      <c r="C298" s="684"/>
      <c r="D298" s="684"/>
      <c r="E298" s="684"/>
      <c r="F298" s="685"/>
    </row>
    <row r="299" spans="1:6" ht="22.5">
      <c r="A299" s="393"/>
      <c r="B299" s="390"/>
      <c r="C299" s="391"/>
      <c r="D299" s="379"/>
      <c r="E299" s="392"/>
      <c r="F299" s="382"/>
    </row>
    <row r="300" spans="1:6" ht="22.5">
      <c r="A300" s="384"/>
      <c r="B300" s="397"/>
      <c r="C300" s="397"/>
      <c r="D300" s="397"/>
      <c r="E300" s="397"/>
      <c r="F300" s="398"/>
    </row>
    <row r="307" spans="1:6" ht="22.5">
      <c r="A307" s="686" t="s">
        <v>614</v>
      </c>
      <c r="B307" s="686"/>
      <c r="C307" s="686"/>
      <c r="D307" s="686"/>
      <c r="E307" s="686"/>
      <c r="F307" s="686"/>
    </row>
    <row r="308" spans="1:6" ht="22.5">
      <c r="A308" s="686" t="s">
        <v>625</v>
      </c>
      <c r="B308" s="686"/>
      <c r="C308" s="686"/>
      <c r="D308" s="686"/>
      <c r="E308" s="686"/>
      <c r="F308" s="686"/>
    </row>
    <row r="309" spans="1:6" ht="22.5">
      <c r="A309" s="687" t="s">
        <v>320</v>
      </c>
      <c r="B309" s="687"/>
      <c r="C309" s="687"/>
      <c r="D309" s="687"/>
      <c r="E309" s="687"/>
      <c r="F309" s="687"/>
    </row>
    <row r="310" spans="1:6" ht="22.5">
      <c r="A310" s="367" t="s">
        <v>489</v>
      </c>
      <c r="B310" s="367"/>
      <c r="C310" s="367"/>
      <c r="D310" s="367"/>
      <c r="E310" s="367"/>
      <c r="F310" s="367"/>
    </row>
    <row r="311" spans="1:6" ht="22.5">
      <c r="A311" s="368" t="s">
        <v>36</v>
      </c>
      <c r="B311" s="369" t="s">
        <v>35</v>
      </c>
      <c r="C311" s="688" t="s">
        <v>313</v>
      </c>
      <c r="D311" s="689"/>
      <c r="E311" s="690" t="s">
        <v>38</v>
      </c>
      <c r="F311" s="689"/>
    </row>
    <row r="312" spans="1:6" ht="22.5">
      <c r="A312" s="370" t="s">
        <v>628</v>
      </c>
      <c r="B312" s="371"/>
      <c r="C312" s="372">
        <v>15000</v>
      </c>
      <c r="D312" s="373" t="s">
        <v>53</v>
      </c>
      <c r="E312" s="374"/>
      <c r="F312" s="375"/>
    </row>
    <row r="313" spans="1:6" ht="22.5">
      <c r="A313" s="376" t="s">
        <v>335</v>
      </c>
      <c r="B313" s="377" t="s">
        <v>327</v>
      </c>
      <c r="C313" s="378"/>
      <c r="D313" s="379"/>
      <c r="E313" s="380">
        <f>C312</f>
        <v>15000</v>
      </c>
      <c r="F313" s="377" t="s">
        <v>53</v>
      </c>
    </row>
    <row r="314" spans="1:6" ht="22.5">
      <c r="A314" s="370"/>
      <c r="B314" s="377"/>
      <c r="C314" s="378"/>
      <c r="D314" s="379"/>
      <c r="E314" s="381"/>
      <c r="F314" s="382"/>
    </row>
    <row r="315" spans="1:6" ht="22.5">
      <c r="A315" s="370"/>
      <c r="B315" s="377"/>
      <c r="C315" s="381"/>
      <c r="D315" s="379"/>
      <c r="E315" s="381"/>
      <c r="F315" s="382"/>
    </row>
    <row r="316" spans="1:6" ht="22.5">
      <c r="A316" s="370"/>
      <c r="B316" s="377"/>
      <c r="C316" s="381"/>
      <c r="D316" s="379"/>
      <c r="E316" s="381"/>
      <c r="F316" s="382"/>
    </row>
    <row r="317" spans="1:6" ht="22.5">
      <c r="A317" s="370"/>
      <c r="B317" s="377"/>
      <c r="C317" s="381"/>
      <c r="D317" s="379"/>
      <c r="E317" s="381"/>
      <c r="F317" s="382"/>
    </row>
    <row r="318" spans="1:6" ht="22.5">
      <c r="A318" s="383"/>
      <c r="B318" s="377"/>
      <c r="C318" s="378"/>
      <c r="D318" s="379"/>
      <c r="E318" s="381"/>
      <c r="F318" s="382"/>
    </row>
    <row r="319" spans="1:6" ht="22.5">
      <c r="A319" s="370"/>
      <c r="B319" s="377"/>
      <c r="C319" s="378"/>
      <c r="D319" s="379"/>
      <c r="E319" s="381"/>
      <c r="F319" s="382"/>
    </row>
    <row r="320" spans="1:6" ht="22.5">
      <c r="A320" s="370"/>
      <c r="B320" s="377"/>
      <c r="C320" s="370"/>
      <c r="D320" s="379"/>
      <c r="E320" s="378"/>
      <c r="F320" s="382"/>
    </row>
    <row r="321" spans="1:6" ht="22.5">
      <c r="A321" s="384"/>
      <c r="B321" s="385"/>
      <c r="C321" s="386"/>
      <c r="D321" s="387"/>
      <c r="E321" s="388"/>
      <c r="F321" s="387"/>
    </row>
    <row r="322" spans="1:6" ht="22.5">
      <c r="A322" s="389" t="s">
        <v>321</v>
      </c>
      <c r="B322" s="390"/>
      <c r="C322" s="391"/>
      <c r="D322" s="379"/>
      <c r="E322" s="392"/>
      <c r="F322" s="382"/>
    </row>
    <row r="323" spans="1:6" ht="22.5">
      <c r="A323" s="683" t="s">
        <v>639</v>
      </c>
      <c r="B323" s="684"/>
      <c r="C323" s="684"/>
      <c r="D323" s="684"/>
      <c r="E323" s="684"/>
      <c r="F323" s="685"/>
    </row>
    <row r="324" spans="1:6" ht="22.5">
      <c r="A324" s="393" t="s">
        <v>640</v>
      </c>
      <c r="B324" s="390"/>
      <c r="C324" s="391"/>
      <c r="D324" s="379"/>
      <c r="E324" s="392"/>
      <c r="F324" s="382"/>
    </row>
    <row r="325" spans="1:6" ht="22.5">
      <c r="A325" s="394"/>
      <c r="B325" s="395"/>
      <c r="C325" s="391"/>
      <c r="D325" s="379"/>
      <c r="E325" s="392"/>
      <c r="F325" s="382"/>
    </row>
    <row r="326" spans="1:6" ht="22.5">
      <c r="A326" s="394"/>
      <c r="B326" s="395"/>
      <c r="C326" s="391"/>
      <c r="D326" s="379"/>
      <c r="E326" s="392"/>
      <c r="F326" s="382"/>
    </row>
    <row r="327" spans="1:6" ht="22.5">
      <c r="A327" s="394"/>
      <c r="B327" s="395"/>
      <c r="C327" s="391"/>
      <c r="D327" s="379"/>
      <c r="E327" s="392"/>
      <c r="F327" s="382"/>
    </row>
    <row r="328" spans="1:6" ht="22.5">
      <c r="A328" s="396"/>
      <c r="B328" s="390"/>
      <c r="C328" s="391"/>
      <c r="D328" s="379"/>
      <c r="E328" s="392"/>
      <c r="F328" s="382"/>
    </row>
    <row r="329" spans="1:6" ht="22.5">
      <c r="A329" s="396"/>
      <c r="B329" s="390"/>
      <c r="C329" s="391"/>
      <c r="D329" s="379"/>
      <c r="E329" s="392"/>
      <c r="F329" s="382"/>
    </row>
    <row r="330" spans="1:6" ht="22.5">
      <c r="A330" s="393" t="s">
        <v>322</v>
      </c>
      <c r="B330" s="391"/>
      <c r="C330" s="391"/>
      <c r="D330" s="379"/>
      <c r="E330" s="391"/>
      <c r="F330" s="375"/>
    </row>
    <row r="331" spans="1:6" ht="22.5">
      <c r="A331" s="393"/>
      <c r="B331" s="391"/>
      <c r="C331" s="391"/>
      <c r="D331" s="379"/>
      <c r="E331" s="391"/>
      <c r="F331" s="375"/>
    </row>
    <row r="332" spans="1:6" ht="22.5">
      <c r="A332" s="683"/>
      <c r="B332" s="684"/>
      <c r="C332" s="684"/>
      <c r="D332" s="684"/>
      <c r="E332" s="684"/>
      <c r="F332" s="685"/>
    </row>
    <row r="333" spans="1:6" ht="22.5">
      <c r="A333" s="393"/>
      <c r="B333" s="390"/>
      <c r="C333" s="391"/>
      <c r="D333" s="379"/>
      <c r="E333" s="392"/>
      <c r="F333" s="382"/>
    </row>
    <row r="334" spans="1:6" ht="22.5">
      <c r="A334" s="384"/>
      <c r="B334" s="397"/>
      <c r="C334" s="397"/>
      <c r="D334" s="397"/>
      <c r="E334" s="397"/>
      <c r="F334" s="398"/>
    </row>
    <row r="341" spans="1:6" ht="22.5">
      <c r="A341" s="686" t="s">
        <v>614</v>
      </c>
      <c r="B341" s="686"/>
      <c r="C341" s="686"/>
      <c r="D341" s="686"/>
      <c r="E341" s="686"/>
      <c r="F341" s="686"/>
    </row>
    <row r="342" spans="1:6" ht="22.5">
      <c r="A342" s="686" t="s">
        <v>625</v>
      </c>
      <c r="B342" s="686"/>
      <c r="C342" s="686"/>
      <c r="D342" s="686"/>
      <c r="E342" s="686"/>
      <c r="F342" s="686"/>
    </row>
    <row r="343" spans="1:6" ht="22.5">
      <c r="A343" s="687" t="s">
        <v>320</v>
      </c>
      <c r="B343" s="687"/>
      <c r="C343" s="687"/>
      <c r="D343" s="687"/>
      <c r="E343" s="687"/>
      <c r="F343" s="687"/>
    </row>
    <row r="344" spans="1:6" ht="22.5">
      <c r="A344" s="367" t="s">
        <v>489</v>
      </c>
      <c r="B344" s="367"/>
      <c r="C344" s="367"/>
      <c r="D344" s="367"/>
      <c r="E344" s="367"/>
      <c r="F344" s="367"/>
    </row>
    <row r="345" spans="1:6" ht="22.5">
      <c r="A345" s="368" t="s">
        <v>36</v>
      </c>
      <c r="B345" s="369" t="s">
        <v>35</v>
      </c>
      <c r="C345" s="688" t="s">
        <v>313</v>
      </c>
      <c r="D345" s="689"/>
      <c r="E345" s="690" t="s">
        <v>38</v>
      </c>
      <c r="F345" s="689"/>
    </row>
    <row r="346" spans="1:6" ht="22.5">
      <c r="A346" s="370" t="s">
        <v>628</v>
      </c>
      <c r="B346" s="371"/>
      <c r="C346" s="372">
        <v>15000</v>
      </c>
      <c r="D346" s="373" t="s">
        <v>53</v>
      </c>
      <c r="E346" s="374"/>
      <c r="F346" s="375"/>
    </row>
    <row r="347" spans="1:6" ht="22.5">
      <c r="A347" s="376" t="s">
        <v>335</v>
      </c>
      <c r="B347" s="377" t="s">
        <v>327</v>
      </c>
      <c r="C347" s="378"/>
      <c r="D347" s="379"/>
      <c r="E347" s="380">
        <f>C346</f>
        <v>15000</v>
      </c>
      <c r="F347" s="377" t="s">
        <v>53</v>
      </c>
    </row>
    <row r="348" spans="1:6" ht="22.5">
      <c r="A348" s="370"/>
      <c r="B348" s="377"/>
      <c r="C348" s="378"/>
      <c r="D348" s="379"/>
      <c r="E348" s="381"/>
      <c r="F348" s="382"/>
    </row>
    <row r="349" spans="1:6" ht="22.5">
      <c r="A349" s="370"/>
      <c r="B349" s="377"/>
      <c r="C349" s="381"/>
      <c r="D349" s="379"/>
      <c r="E349" s="381"/>
      <c r="F349" s="382"/>
    </row>
    <row r="350" spans="1:6" ht="22.5">
      <c r="A350" s="370"/>
      <c r="B350" s="377"/>
      <c r="C350" s="381"/>
      <c r="D350" s="379"/>
      <c r="E350" s="381"/>
      <c r="F350" s="382"/>
    </row>
    <row r="351" spans="1:6" ht="22.5">
      <c r="A351" s="370"/>
      <c r="B351" s="377"/>
      <c r="C351" s="381"/>
      <c r="D351" s="379"/>
      <c r="E351" s="381"/>
      <c r="F351" s="382"/>
    </row>
    <row r="352" spans="1:6" ht="22.5">
      <c r="A352" s="383"/>
      <c r="B352" s="377"/>
      <c r="C352" s="378"/>
      <c r="D352" s="379"/>
      <c r="E352" s="381"/>
      <c r="F352" s="382"/>
    </row>
    <row r="353" spans="1:6" ht="22.5">
      <c r="A353" s="370"/>
      <c r="B353" s="377"/>
      <c r="C353" s="378"/>
      <c r="D353" s="379"/>
      <c r="E353" s="381"/>
      <c r="F353" s="382"/>
    </row>
    <row r="354" spans="1:6" ht="22.5">
      <c r="A354" s="370"/>
      <c r="B354" s="377"/>
      <c r="C354" s="370"/>
      <c r="D354" s="379"/>
      <c r="E354" s="378"/>
      <c r="F354" s="382"/>
    </row>
    <row r="355" spans="1:6" ht="22.5">
      <c r="A355" s="384"/>
      <c r="B355" s="385"/>
      <c r="C355" s="386"/>
      <c r="D355" s="387"/>
      <c r="E355" s="388"/>
      <c r="F355" s="387"/>
    </row>
    <row r="356" spans="1:6" ht="22.5">
      <c r="A356" s="389" t="s">
        <v>321</v>
      </c>
      <c r="B356" s="390"/>
      <c r="C356" s="391"/>
      <c r="D356" s="379"/>
      <c r="E356" s="392"/>
      <c r="F356" s="382"/>
    </row>
    <row r="357" spans="1:6" ht="22.5">
      <c r="A357" s="683" t="s">
        <v>643</v>
      </c>
      <c r="B357" s="684"/>
      <c r="C357" s="684"/>
      <c r="D357" s="684"/>
      <c r="E357" s="684"/>
      <c r="F357" s="685"/>
    </row>
    <row r="358" spans="1:6" ht="22.5">
      <c r="A358" s="393" t="s">
        <v>641</v>
      </c>
      <c r="B358" s="390"/>
      <c r="C358" s="391"/>
      <c r="D358" s="379"/>
      <c r="E358" s="392"/>
      <c r="F358" s="382"/>
    </row>
    <row r="359" spans="1:6" ht="22.5">
      <c r="A359" s="394"/>
      <c r="B359" s="395"/>
      <c r="C359" s="391"/>
      <c r="D359" s="379"/>
      <c r="E359" s="392"/>
      <c r="F359" s="382"/>
    </row>
    <row r="360" spans="1:6" ht="22.5">
      <c r="A360" s="394"/>
      <c r="B360" s="395"/>
      <c r="C360" s="391"/>
      <c r="D360" s="379"/>
      <c r="E360" s="392"/>
      <c r="F360" s="382"/>
    </row>
    <row r="361" spans="1:6" ht="22.5">
      <c r="A361" s="394"/>
      <c r="B361" s="395"/>
      <c r="C361" s="391"/>
      <c r="D361" s="379"/>
      <c r="E361" s="392"/>
      <c r="F361" s="382"/>
    </row>
    <row r="362" spans="1:6" ht="22.5">
      <c r="A362" s="396"/>
      <c r="B362" s="390"/>
      <c r="C362" s="391"/>
      <c r="D362" s="379"/>
      <c r="E362" s="392"/>
      <c r="F362" s="382"/>
    </row>
    <row r="363" spans="1:6" ht="22.5">
      <c r="A363" s="396"/>
      <c r="B363" s="390"/>
      <c r="C363" s="391"/>
      <c r="D363" s="379"/>
      <c r="E363" s="392"/>
      <c r="F363" s="382"/>
    </row>
    <row r="364" spans="1:6" ht="22.5">
      <c r="A364" s="393" t="s">
        <v>322</v>
      </c>
      <c r="B364" s="391"/>
      <c r="C364" s="391"/>
      <c r="D364" s="379"/>
      <c r="E364" s="391"/>
      <c r="F364" s="375"/>
    </row>
    <row r="365" spans="1:6" ht="22.5">
      <c r="A365" s="393"/>
      <c r="B365" s="391"/>
      <c r="C365" s="391"/>
      <c r="D365" s="379"/>
      <c r="E365" s="391"/>
      <c r="F365" s="375"/>
    </row>
    <row r="366" spans="1:6" ht="22.5">
      <c r="A366" s="683"/>
      <c r="B366" s="684"/>
      <c r="C366" s="684"/>
      <c r="D366" s="684"/>
      <c r="E366" s="684"/>
      <c r="F366" s="685"/>
    </row>
    <row r="367" spans="1:6" ht="22.5">
      <c r="A367" s="393"/>
      <c r="B367" s="390"/>
      <c r="C367" s="391"/>
      <c r="D367" s="379"/>
      <c r="E367" s="392"/>
      <c r="F367" s="382"/>
    </row>
    <row r="368" spans="1:6" ht="22.5">
      <c r="A368" s="384"/>
      <c r="B368" s="397"/>
      <c r="C368" s="397"/>
      <c r="D368" s="397"/>
      <c r="E368" s="397"/>
      <c r="F368" s="398"/>
    </row>
    <row r="369" spans="1:6" ht="22.5">
      <c r="A369" s="391"/>
      <c r="B369" s="391"/>
      <c r="C369" s="391"/>
      <c r="D369" s="391"/>
      <c r="E369" s="391"/>
      <c r="F369" s="391"/>
    </row>
    <row r="370" spans="1:6" ht="22.5">
      <c r="A370" s="391"/>
      <c r="B370" s="391"/>
      <c r="C370" s="391"/>
      <c r="D370" s="391"/>
      <c r="E370" s="391"/>
      <c r="F370" s="391"/>
    </row>
    <row r="371" spans="1:6" ht="22.5">
      <c r="A371" s="391"/>
      <c r="B371" s="391"/>
      <c r="C371" s="391"/>
      <c r="D371" s="391"/>
      <c r="E371" s="391"/>
      <c r="F371" s="391"/>
    </row>
    <row r="372" spans="1:6" ht="22.5">
      <c r="A372" s="391"/>
      <c r="B372" s="391"/>
      <c r="C372" s="391"/>
      <c r="D372" s="391"/>
      <c r="E372" s="391"/>
      <c r="F372" s="391"/>
    </row>
    <row r="373" spans="1:6" ht="22.5">
      <c r="A373" s="391"/>
      <c r="B373" s="391"/>
      <c r="C373" s="391"/>
      <c r="D373" s="391"/>
      <c r="E373" s="391"/>
      <c r="F373" s="391"/>
    </row>
    <row r="374" spans="1:6" ht="22.5">
      <c r="A374" s="391"/>
      <c r="B374" s="391"/>
      <c r="C374" s="391"/>
      <c r="D374" s="391"/>
      <c r="E374" s="391"/>
      <c r="F374" s="391"/>
    </row>
    <row r="375" spans="1:6" ht="22.5">
      <c r="A375" s="686" t="s">
        <v>614</v>
      </c>
      <c r="B375" s="686"/>
      <c r="C375" s="686"/>
      <c r="D375" s="686"/>
      <c r="E375" s="686"/>
      <c r="F375" s="686"/>
    </row>
    <row r="376" spans="1:6" ht="22.5">
      <c r="A376" s="686" t="s">
        <v>625</v>
      </c>
      <c r="B376" s="686"/>
      <c r="C376" s="686"/>
      <c r="D376" s="686"/>
      <c r="E376" s="686"/>
      <c r="F376" s="686"/>
    </row>
    <row r="377" spans="1:6" ht="22.5">
      <c r="A377" s="687" t="s">
        <v>320</v>
      </c>
      <c r="B377" s="687"/>
      <c r="C377" s="687"/>
      <c r="D377" s="687"/>
      <c r="E377" s="687"/>
      <c r="F377" s="687"/>
    </row>
    <row r="378" spans="1:6" ht="22.5">
      <c r="A378" s="367" t="s">
        <v>489</v>
      </c>
      <c r="B378" s="367"/>
      <c r="C378" s="367"/>
      <c r="D378" s="367"/>
      <c r="E378" s="367"/>
      <c r="F378" s="367"/>
    </row>
    <row r="379" spans="1:6" ht="22.5">
      <c r="A379" s="368" t="s">
        <v>36</v>
      </c>
      <c r="B379" s="369" t="s">
        <v>35</v>
      </c>
      <c r="C379" s="688" t="s">
        <v>313</v>
      </c>
      <c r="D379" s="689"/>
      <c r="E379" s="690" t="s">
        <v>38</v>
      </c>
      <c r="F379" s="689"/>
    </row>
    <row r="380" spans="1:6" ht="22.5">
      <c r="A380" s="370" t="s">
        <v>628</v>
      </c>
      <c r="B380" s="371"/>
      <c r="C380" s="372">
        <v>15000</v>
      </c>
      <c r="D380" s="373" t="s">
        <v>53</v>
      </c>
      <c r="E380" s="374"/>
      <c r="F380" s="375"/>
    </row>
    <row r="381" spans="1:6" ht="22.5">
      <c r="A381" s="376" t="s">
        <v>335</v>
      </c>
      <c r="B381" s="377" t="s">
        <v>327</v>
      </c>
      <c r="C381" s="378"/>
      <c r="D381" s="379"/>
      <c r="E381" s="380">
        <f>C380</f>
        <v>15000</v>
      </c>
      <c r="F381" s="377" t="s">
        <v>53</v>
      </c>
    </row>
    <row r="382" spans="1:6" ht="22.5">
      <c r="A382" s="370"/>
      <c r="B382" s="377"/>
      <c r="C382" s="378"/>
      <c r="D382" s="379"/>
      <c r="E382" s="381"/>
      <c r="F382" s="382"/>
    </row>
    <row r="383" spans="1:6" ht="22.5">
      <c r="A383" s="370"/>
      <c r="B383" s="377"/>
      <c r="C383" s="381"/>
      <c r="D383" s="379"/>
      <c r="E383" s="381"/>
      <c r="F383" s="382"/>
    </row>
    <row r="384" spans="1:6" ht="22.5">
      <c r="A384" s="370"/>
      <c r="B384" s="377"/>
      <c r="C384" s="381"/>
      <c r="D384" s="379"/>
      <c r="E384" s="381"/>
      <c r="F384" s="382"/>
    </row>
    <row r="385" spans="1:6" ht="22.5">
      <c r="A385" s="370"/>
      <c r="B385" s="377"/>
      <c r="C385" s="381"/>
      <c r="D385" s="379"/>
      <c r="E385" s="381"/>
      <c r="F385" s="382"/>
    </row>
    <row r="386" spans="1:6" ht="22.5">
      <c r="A386" s="383"/>
      <c r="B386" s="377"/>
      <c r="C386" s="378"/>
      <c r="D386" s="379"/>
      <c r="E386" s="381"/>
      <c r="F386" s="382"/>
    </row>
    <row r="387" spans="1:6" ht="22.5">
      <c r="A387" s="370"/>
      <c r="B387" s="377"/>
      <c r="C387" s="378"/>
      <c r="D387" s="379"/>
      <c r="E387" s="381"/>
      <c r="F387" s="382"/>
    </row>
    <row r="388" spans="1:6" ht="22.5">
      <c r="A388" s="370"/>
      <c r="B388" s="377"/>
      <c r="C388" s="370"/>
      <c r="D388" s="379"/>
      <c r="E388" s="378"/>
      <c r="F388" s="382"/>
    </row>
    <row r="389" spans="1:6" ht="22.5">
      <c r="A389" s="384"/>
      <c r="B389" s="385"/>
      <c r="C389" s="386"/>
      <c r="D389" s="387"/>
      <c r="E389" s="388"/>
      <c r="F389" s="387"/>
    </row>
    <row r="390" spans="1:6" ht="22.5">
      <c r="A390" s="389" t="s">
        <v>321</v>
      </c>
      <c r="B390" s="390"/>
      <c r="C390" s="391"/>
      <c r="D390" s="379"/>
      <c r="E390" s="392"/>
      <c r="F390" s="382"/>
    </row>
    <row r="391" spans="1:6" ht="22.5">
      <c r="A391" s="683" t="s">
        <v>644</v>
      </c>
      <c r="B391" s="684"/>
      <c r="C391" s="684"/>
      <c r="D391" s="684"/>
      <c r="E391" s="684"/>
      <c r="F391" s="685"/>
    </row>
    <row r="392" spans="1:6" ht="22.5">
      <c r="A392" s="393" t="s">
        <v>642</v>
      </c>
      <c r="B392" s="390"/>
      <c r="C392" s="391"/>
      <c r="D392" s="379"/>
      <c r="E392" s="392"/>
      <c r="F392" s="382"/>
    </row>
    <row r="393" spans="1:6" ht="22.5">
      <c r="A393" s="394"/>
      <c r="B393" s="395"/>
      <c r="C393" s="391"/>
      <c r="D393" s="379"/>
      <c r="E393" s="392"/>
      <c r="F393" s="382"/>
    </row>
    <row r="394" spans="1:6" ht="22.5">
      <c r="A394" s="394"/>
      <c r="B394" s="395"/>
      <c r="C394" s="391"/>
      <c r="D394" s="379"/>
      <c r="E394" s="392"/>
      <c r="F394" s="382"/>
    </row>
    <row r="395" spans="1:6" ht="22.5">
      <c r="A395" s="394"/>
      <c r="B395" s="395"/>
      <c r="C395" s="391"/>
      <c r="D395" s="379"/>
      <c r="E395" s="392"/>
      <c r="F395" s="382"/>
    </row>
    <row r="396" spans="1:6" ht="22.5">
      <c r="A396" s="396"/>
      <c r="B396" s="390"/>
      <c r="C396" s="391"/>
      <c r="D396" s="379"/>
      <c r="E396" s="392"/>
      <c r="F396" s="382"/>
    </row>
    <row r="397" spans="1:6" ht="22.5">
      <c r="A397" s="396"/>
      <c r="B397" s="390"/>
      <c r="C397" s="391"/>
      <c r="D397" s="379"/>
      <c r="E397" s="392"/>
      <c r="F397" s="382"/>
    </row>
    <row r="398" spans="1:6" ht="22.5">
      <c r="A398" s="393" t="s">
        <v>322</v>
      </c>
      <c r="B398" s="391"/>
      <c r="C398" s="391"/>
      <c r="D398" s="379"/>
      <c r="E398" s="391"/>
      <c r="F398" s="375"/>
    </row>
    <row r="399" spans="1:6" ht="22.5">
      <c r="A399" s="393"/>
      <c r="B399" s="391"/>
      <c r="C399" s="391"/>
      <c r="D399" s="379"/>
      <c r="E399" s="391"/>
      <c r="F399" s="375"/>
    </row>
    <row r="400" spans="1:6" ht="22.5">
      <c r="A400" s="683"/>
      <c r="B400" s="684"/>
      <c r="C400" s="684"/>
      <c r="D400" s="684"/>
      <c r="E400" s="684"/>
      <c r="F400" s="685"/>
    </row>
    <row r="401" spans="1:6" ht="22.5">
      <c r="A401" s="393"/>
      <c r="B401" s="390"/>
      <c r="C401" s="391"/>
      <c r="D401" s="379"/>
      <c r="E401" s="392"/>
      <c r="F401" s="382"/>
    </row>
    <row r="402" spans="1:6" ht="22.5">
      <c r="A402" s="384"/>
      <c r="B402" s="397"/>
      <c r="C402" s="397"/>
      <c r="D402" s="397"/>
      <c r="E402" s="397"/>
      <c r="F402" s="398"/>
    </row>
    <row r="403" spans="1:6" ht="22.5">
      <c r="A403" s="391"/>
      <c r="B403" s="391"/>
      <c r="C403" s="391"/>
      <c r="D403" s="391"/>
      <c r="E403" s="391"/>
      <c r="F403" s="391"/>
    </row>
    <row r="404" spans="1:6" ht="22.5">
      <c r="A404" s="391"/>
      <c r="B404" s="391"/>
      <c r="C404" s="391"/>
      <c r="D404" s="391"/>
      <c r="E404" s="391"/>
      <c r="F404" s="391"/>
    </row>
    <row r="405" spans="1:6" ht="22.5">
      <c r="A405" s="391"/>
      <c r="B405" s="391"/>
      <c r="C405" s="391"/>
      <c r="D405" s="391"/>
      <c r="E405" s="391"/>
      <c r="F405" s="391"/>
    </row>
    <row r="406" spans="1:6" ht="22.5">
      <c r="A406" s="391"/>
      <c r="B406" s="391"/>
      <c r="C406" s="391"/>
      <c r="D406" s="391"/>
      <c r="E406" s="391"/>
      <c r="F406" s="391"/>
    </row>
    <row r="407" spans="1:6" ht="22.5">
      <c r="A407" s="391"/>
      <c r="B407" s="391"/>
      <c r="C407" s="391"/>
      <c r="D407" s="391"/>
      <c r="E407" s="391"/>
      <c r="F407" s="391"/>
    </row>
    <row r="408" spans="1:6" ht="22.5">
      <c r="A408" s="391"/>
      <c r="B408" s="391"/>
      <c r="C408" s="391"/>
      <c r="D408" s="391"/>
      <c r="E408" s="391"/>
      <c r="F408" s="391"/>
    </row>
    <row r="409" spans="1:6" ht="22.5">
      <c r="A409" s="686" t="s">
        <v>614</v>
      </c>
      <c r="B409" s="686"/>
      <c r="C409" s="686"/>
      <c r="D409" s="686"/>
      <c r="E409" s="686"/>
      <c r="F409" s="686"/>
    </row>
    <row r="410" spans="1:6" ht="22.5">
      <c r="A410" s="686" t="s">
        <v>625</v>
      </c>
      <c r="B410" s="686"/>
      <c r="C410" s="686"/>
      <c r="D410" s="686"/>
      <c r="E410" s="686"/>
      <c r="F410" s="686"/>
    </row>
    <row r="411" spans="1:6" ht="22.5">
      <c r="A411" s="687" t="s">
        <v>320</v>
      </c>
      <c r="B411" s="687"/>
      <c r="C411" s="687"/>
      <c r="D411" s="687"/>
      <c r="E411" s="687"/>
      <c r="F411" s="687"/>
    </row>
    <row r="412" spans="1:6" ht="22.5">
      <c r="A412" s="367" t="s">
        <v>489</v>
      </c>
      <c r="B412" s="367"/>
      <c r="C412" s="367"/>
      <c r="D412" s="367"/>
      <c r="E412" s="367"/>
      <c r="F412" s="367"/>
    </row>
    <row r="413" spans="1:6" ht="22.5">
      <c r="A413" s="368" t="s">
        <v>36</v>
      </c>
      <c r="B413" s="369" t="s">
        <v>35</v>
      </c>
      <c r="C413" s="688" t="s">
        <v>313</v>
      </c>
      <c r="D413" s="689"/>
      <c r="E413" s="690" t="s">
        <v>38</v>
      </c>
      <c r="F413" s="689"/>
    </row>
    <row r="414" spans="1:6" ht="22.5">
      <c r="A414" s="370" t="s">
        <v>628</v>
      </c>
      <c r="B414" s="371"/>
      <c r="C414" s="372">
        <v>1080</v>
      </c>
      <c r="D414" s="373" t="s">
        <v>53</v>
      </c>
      <c r="E414" s="374"/>
      <c r="F414" s="375"/>
    </row>
    <row r="415" spans="1:6" ht="22.5">
      <c r="A415" s="376" t="s">
        <v>335</v>
      </c>
      <c r="B415" s="377" t="s">
        <v>327</v>
      </c>
      <c r="C415" s="378"/>
      <c r="D415" s="379"/>
      <c r="E415" s="380">
        <f>C414</f>
        <v>1080</v>
      </c>
      <c r="F415" s="377" t="s">
        <v>53</v>
      </c>
    </row>
    <row r="416" spans="1:6" ht="22.5">
      <c r="A416" s="370"/>
      <c r="B416" s="377"/>
      <c r="C416" s="378"/>
      <c r="D416" s="379"/>
      <c r="E416" s="381"/>
      <c r="F416" s="382"/>
    </row>
    <row r="417" spans="1:6" ht="22.5">
      <c r="A417" s="370"/>
      <c r="B417" s="377"/>
      <c r="C417" s="381"/>
      <c r="D417" s="379"/>
      <c r="E417" s="381"/>
      <c r="F417" s="382"/>
    </row>
    <row r="418" spans="1:6" ht="22.5">
      <c r="A418" s="370"/>
      <c r="B418" s="377"/>
      <c r="C418" s="381"/>
      <c r="D418" s="379"/>
      <c r="E418" s="381"/>
      <c r="F418" s="382"/>
    </row>
    <row r="419" spans="1:6" ht="22.5">
      <c r="A419" s="370"/>
      <c r="B419" s="377"/>
      <c r="C419" s="381"/>
      <c r="D419" s="379"/>
      <c r="E419" s="381"/>
      <c r="F419" s="382"/>
    </row>
    <row r="420" spans="1:6" ht="22.5">
      <c r="A420" s="383"/>
      <c r="B420" s="377"/>
      <c r="C420" s="378"/>
      <c r="D420" s="379"/>
      <c r="E420" s="381"/>
      <c r="F420" s="382"/>
    </row>
    <row r="421" spans="1:6" ht="22.5">
      <c r="A421" s="370"/>
      <c r="B421" s="377"/>
      <c r="C421" s="378"/>
      <c r="D421" s="379"/>
      <c r="E421" s="381"/>
      <c r="F421" s="382"/>
    </row>
    <row r="422" spans="1:6" ht="22.5">
      <c r="A422" s="370"/>
      <c r="B422" s="377"/>
      <c r="C422" s="370"/>
      <c r="D422" s="379"/>
      <c r="E422" s="378"/>
      <c r="F422" s="382"/>
    </row>
    <row r="423" spans="1:6" ht="22.5">
      <c r="A423" s="384"/>
      <c r="B423" s="385"/>
      <c r="C423" s="386"/>
      <c r="D423" s="387"/>
      <c r="E423" s="388"/>
      <c r="F423" s="387"/>
    </row>
    <row r="424" spans="1:6" ht="22.5">
      <c r="A424" s="389" t="s">
        <v>321</v>
      </c>
      <c r="B424" s="390"/>
      <c r="C424" s="391"/>
      <c r="D424" s="379"/>
      <c r="E424" s="392"/>
      <c r="F424" s="382"/>
    </row>
    <row r="425" spans="1:6" ht="22.5">
      <c r="A425" s="683" t="s">
        <v>633</v>
      </c>
      <c r="B425" s="684"/>
      <c r="C425" s="684"/>
      <c r="D425" s="684"/>
      <c r="E425" s="684"/>
      <c r="F425" s="685"/>
    </row>
    <row r="426" spans="1:6" ht="22.5">
      <c r="A426" s="393" t="s">
        <v>634</v>
      </c>
      <c r="B426" s="390"/>
      <c r="C426" s="391"/>
      <c r="D426" s="379"/>
      <c r="E426" s="392"/>
      <c r="F426" s="382"/>
    </row>
    <row r="427" spans="1:6" ht="22.5">
      <c r="A427" s="394"/>
      <c r="B427" s="395"/>
      <c r="C427" s="391"/>
      <c r="D427" s="379"/>
      <c r="E427" s="392"/>
      <c r="F427" s="382"/>
    </row>
    <row r="428" spans="1:6" ht="22.5">
      <c r="A428" s="394"/>
      <c r="B428" s="395"/>
      <c r="C428" s="391"/>
      <c r="D428" s="379"/>
      <c r="E428" s="392"/>
      <c r="F428" s="382"/>
    </row>
    <row r="429" spans="1:6" ht="22.5">
      <c r="A429" s="394"/>
      <c r="B429" s="395"/>
      <c r="C429" s="391"/>
      <c r="D429" s="379"/>
      <c r="E429" s="392"/>
      <c r="F429" s="382"/>
    </row>
    <row r="430" spans="1:6" ht="22.5">
      <c r="A430" s="396"/>
      <c r="B430" s="390"/>
      <c r="C430" s="391"/>
      <c r="D430" s="379"/>
      <c r="E430" s="392"/>
      <c r="F430" s="382"/>
    </row>
    <row r="431" spans="1:6" ht="22.5">
      <c r="A431" s="396"/>
      <c r="B431" s="390"/>
      <c r="C431" s="391"/>
      <c r="D431" s="379"/>
      <c r="E431" s="392"/>
      <c r="F431" s="382"/>
    </row>
    <row r="432" spans="1:6" ht="22.5">
      <c r="A432" s="393" t="s">
        <v>322</v>
      </c>
      <c r="B432" s="391"/>
      <c r="C432" s="391"/>
      <c r="D432" s="379"/>
      <c r="E432" s="391"/>
      <c r="F432" s="375"/>
    </row>
    <row r="433" spans="1:6" ht="22.5">
      <c r="A433" s="393"/>
      <c r="B433" s="391"/>
      <c r="C433" s="391"/>
      <c r="D433" s="379"/>
      <c r="E433" s="391"/>
      <c r="F433" s="375"/>
    </row>
    <row r="434" spans="1:6" ht="22.5">
      <c r="A434" s="683"/>
      <c r="B434" s="684"/>
      <c r="C434" s="684"/>
      <c r="D434" s="684"/>
      <c r="E434" s="684"/>
      <c r="F434" s="685"/>
    </row>
    <row r="435" spans="1:6" ht="22.5">
      <c r="A435" s="393"/>
      <c r="B435" s="390"/>
      <c r="C435" s="391"/>
      <c r="D435" s="379"/>
      <c r="E435" s="392"/>
      <c r="F435" s="382"/>
    </row>
    <row r="436" spans="1:6" ht="22.5">
      <c r="A436" s="384"/>
      <c r="B436" s="397"/>
      <c r="C436" s="397"/>
      <c r="D436" s="397"/>
      <c r="E436" s="397"/>
      <c r="F436" s="398"/>
    </row>
    <row r="443" spans="1:6" ht="22.5">
      <c r="A443" s="686" t="s">
        <v>614</v>
      </c>
      <c r="B443" s="686"/>
      <c r="C443" s="686"/>
      <c r="D443" s="686"/>
      <c r="E443" s="686"/>
      <c r="F443" s="686"/>
    </row>
    <row r="444" spans="1:6" ht="22.5">
      <c r="A444" s="686" t="s">
        <v>645</v>
      </c>
      <c r="B444" s="686"/>
      <c r="C444" s="686"/>
      <c r="D444" s="686"/>
      <c r="E444" s="686"/>
      <c r="F444" s="686"/>
    </row>
    <row r="445" spans="1:6" ht="22.5">
      <c r="A445" s="687" t="s">
        <v>320</v>
      </c>
      <c r="B445" s="687"/>
      <c r="C445" s="687"/>
      <c r="D445" s="687"/>
      <c r="E445" s="687"/>
      <c r="F445" s="687"/>
    </row>
    <row r="446" spans="1:6" ht="22.5">
      <c r="A446" s="367" t="s">
        <v>489</v>
      </c>
      <c r="B446" s="367"/>
      <c r="C446" s="367"/>
      <c r="D446" s="367"/>
      <c r="E446" s="367"/>
      <c r="F446" s="367"/>
    </row>
    <row r="447" spans="1:6" ht="22.5">
      <c r="A447" s="368" t="s">
        <v>36</v>
      </c>
      <c r="B447" s="369" t="s">
        <v>35</v>
      </c>
      <c r="C447" s="688" t="s">
        <v>313</v>
      </c>
      <c r="D447" s="689"/>
      <c r="E447" s="690" t="s">
        <v>38</v>
      </c>
      <c r="F447" s="689"/>
    </row>
    <row r="448" spans="1:6" ht="22.5">
      <c r="A448" s="370" t="s">
        <v>615</v>
      </c>
      <c r="B448" s="371"/>
      <c r="C448" s="372">
        <v>499700</v>
      </c>
      <c r="D448" s="373" t="s">
        <v>53</v>
      </c>
      <c r="E448" s="374"/>
      <c r="F448" s="375"/>
    </row>
    <row r="449" spans="1:6" ht="22.5">
      <c r="A449" s="370" t="s">
        <v>615</v>
      </c>
      <c r="B449" s="377"/>
      <c r="C449" s="380">
        <v>117100</v>
      </c>
      <c r="D449" s="373"/>
      <c r="E449" s="370"/>
      <c r="F449" s="375"/>
    </row>
    <row r="450" spans="1:6" ht="22.5">
      <c r="A450" s="370" t="s">
        <v>616</v>
      </c>
      <c r="B450" s="377"/>
      <c r="C450" s="380">
        <v>23000</v>
      </c>
      <c r="D450" s="373"/>
      <c r="E450" s="370"/>
      <c r="F450" s="375"/>
    </row>
    <row r="451" spans="1:6" ht="22.5">
      <c r="A451" s="370" t="s">
        <v>616</v>
      </c>
      <c r="B451" s="377"/>
      <c r="C451" s="380">
        <v>55500</v>
      </c>
      <c r="D451" s="373"/>
      <c r="E451" s="370"/>
      <c r="F451" s="375"/>
    </row>
    <row r="452" spans="1:6" ht="22.5">
      <c r="A452" s="370" t="s">
        <v>48</v>
      </c>
      <c r="B452" s="377"/>
      <c r="C452" s="380">
        <v>20000</v>
      </c>
      <c r="D452" s="373"/>
      <c r="E452" s="370"/>
      <c r="F452" s="375"/>
    </row>
    <row r="453" spans="1:6" ht="22.5">
      <c r="A453" s="370" t="s">
        <v>48</v>
      </c>
      <c r="B453" s="377"/>
      <c r="C453" s="380">
        <v>13000</v>
      </c>
      <c r="D453" s="373"/>
      <c r="E453" s="370"/>
      <c r="F453" s="375"/>
    </row>
    <row r="454" spans="1:6" ht="22.5">
      <c r="A454" s="376" t="s">
        <v>335</v>
      </c>
      <c r="B454" s="377" t="s">
        <v>327</v>
      </c>
      <c r="C454" s="378"/>
      <c r="D454" s="379"/>
      <c r="E454" s="380">
        <f>C453+C448+C449+C450+C451+C452</f>
        <v>728300</v>
      </c>
      <c r="F454" s="377" t="s">
        <v>53</v>
      </c>
    </row>
    <row r="455" spans="1:6" ht="22.5">
      <c r="A455" s="370"/>
      <c r="B455" s="377"/>
      <c r="C455" s="378"/>
      <c r="D455" s="379"/>
      <c r="E455" s="381"/>
      <c r="F455" s="382"/>
    </row>
    <row r="456" spans="1:6" ht="22.5">
      <c r="A456" s="370"/>
      <c r="B456" s="377"/>
      <c r="C456" s="381"/>
      <c r="D456" s="379"/>
      <c r="E456" s="381"/>
      <c r="F456" s="382"/>
    </row>
    <row r="457" spans="1:6" ht="22.5">
      <c r="A457" s="370"/>
      <c r="B457" s="377"/>
      <c r="C457" s="381"/>
      <c r="D457" s="379"/>
      <c r="E457" s="381"/>
      <c r="F457" s="382"/>
    </row>
    <row r="458" spans="1:6" ht="22.5">
      <c r="A458" s="370"/>
      <c r="B458" s="377"/>
      <c r="C458" s="381"/>
      <c r="D458" s="379"/>
      <c r="E458" s="381"/>
      <c r="F458" s="382"/>
    </row>
    <row r="459" spans="1:6" ht="22.5">
      <c r="A459" s="383"/>
      <c r="B459" s="377"/>
      <c r="C459" s="378"/>
      <c r="D459" s="379"/>
      <c r="E459" s="381"/>
      <c r="F459" s="382"/>
    </row>
    <row r="460" spans="1:6" ht="22.5">
      <c r="A460" s="370"/>
      <c r="B460" s="377"/>
      <c r="C460" s="378"/>
      <c r="D460" s="379"/>
      <c r="E460" s="381"/>
      <c r="F460" s="382"/>
    </row>
    <row r="461" spans="1:6" ht="22.5">
      <c r="A461" s="370"/>
      <c r="B461" s="377"/>
      <c r="C461" s="370"/>
      <c r="D461" s="379"/>
      <c r="E461" s="378"/>
      <c r="F461" s="382"/>
    </row>
    <row r="462" spans="1:6" ht="22.5">
      <c r="A462" s="384"/>
      <c r="B462" s="385"/>
      <c r="C462" s="386"/>
      <c r="D462" s="387"/>
      <c r="E462" s="388"/>
      <c r="F462" s="387"/>
    </row>
    <row r="463" spans="1:6" ht="22.5">
      <c r="A463" s="389" t="s">
        <v>321</v>
      </c>
      <c r="B463" s="390"/>
      <c r="C463" s="391"/>
      <c r="D463" s="379"/>
      <c r="E463" s="392"/>
      <c r="F463" s="382"/>
    </row>
    <row r="464" spans="1:6" ht="22.5">
      <c r="A464" s="683" t="s">
        <v>736</v>
      </c>
      <c r="B464" s="684"/>
      <c r="C464" s="684"/>
      <c r="D464" s="684"/>
      <c r="E464" s="684"/>
      <c r="F464" s="685"/>
    </row>
    <row r="465" spans="1:6" ht="22.5">
      <c r="A465" s="559" t="s">
        <v>618</v>
      </c>
      <c r="B465" s="390"/>
      <c r="C465" s="560">
        <f>+C450+C451</f>
        <v>78500</v>
      </c>
      <c r="D465" s="379"/>
      <c r="E465" s="392" t="s">
        <v>54</v>
      </c>
      <c r="F465" s="382"/>
    </row>
    <row r="466" spans="1:6" ht="22.5">
      <c r="A466" s="559" t="s">
        <v>619</v>
      </c>
      <c r="B466" s="395"/>
      <c r="C466" s="560">
        <f>+C448+C449</f>
        <v>616800</v>
      </c>
      <c r="D466" s="379"/>
      <c r="E466" s="392" t="s">
        <v>54</v>
      </c>
      <c r="F466" s="382"/>
    </row>
    <row r="467" spans="1:6" ht="22.5">
      <c r="A467" s="559" t="s">
        <v>620</v>
      </c>
      <c r="B467" s="395"/>
      <c r="C467" s="560">
        <f>+C452+C453</f>
        <v>33000</v>
      </c>
      <c r="D467" s="379"/>
      <c r="E467" s="392" t="s">
        <v>54</v>
      </c>
      <c r="F467" s="382"/>
    </row>
    <row r="468" spans="1:6" ht="22.5">
      <c r="A468" s="393" t="s">
        <v>636</v>
      </c>
      <c r="B468" s="395"/>
      <c r="C468" s="391"/>
      <c r="D468" s="379"/>
      <c r="E468" s="392"/>
      <c r="F468" s="382"/>
    </row>
    <row r="469" spans="1:6" ht="22.5">
      <c r="A469" s="396"/>
      <c r="B469" s="390"/>
      <c r="C469" s="391"/>
      <c r="D469" s="379"/>
      <c r="E469" s="392"/>
      <c r="F469" s="382"/>
    </row>
    <row r="470" spans="1:6" ht="22.5">
      <c r="A470" s="393" t="s">
        <v>322</v>
      </c>
      <c r="B470" s="391"/>
      <c r="C470" s="391"/>
      <c r="D470" s="379"/>
      <c r="E470" s="391"/>
      <c r="F470" s="375"/>
    </row>
    <row r="471" spans="1:6" ht="22.5">
      <c r="A471" s="393"/>
      <c r="B471" s="391"/>
      <c r="C471" s="391"/>
      <c r="D471" s="379"/>
      <c r="E471" s="391"/>
      <c r="F471" s="375"/>
    </row>
    <row r="472" spans="1:6" ht="22.5">
      <c r="A472" s="683"/>
      <c r="B472" s="684"/>
      <c r="C472" s="684"/>
      <c r="D472" s="684"/>
      <c r="E472" s="684"/>
      <c r="F472" s="685"/>
    </row>
    <row r="473" spans="1:6" ht="22.5">
      <c r="A473" s="393"/>
      <c r="B473" s="390"/>
      <c r="C473" s="391"/>
      <c r="D473" s="379"/>
      <c r="E473" s="392"/>
      <c r="F473" s="382"/>
    </row>
    <row r="474" spans="1:6" ht="22.5">
      <c r="A474" s="384"/>
      <c r="B474" s="397"/>
      <c r="C474" s="397"/>
      <c r="D474" s="397"/>
      <c r="E474" s="397"/>
      <c r="F474" s="398"/>
    </row>
    <row r="475" spans="1:6" ht="22.5">
      <c r="A475" s="391"/>
      <c r="B475" s="391"/>
      <c r="C475" s="391"/>
      <c r="D475" s="391"/>
      <c r="E475" s="391"/>
      <c r="F475" s="391"/>
    </row>
    <row r="476" spans="1:6" ht="22.5">
      <c r="A476" s="391"/>
      <c r="B476" s="391"/>
      <c r="C476" s="391"/>
      <c r="D476" s="391"/>
      <c r="E476" s="391"/>
      <c r="F476" s="391"/>
    </row>
    <row r="477" spans="1:6" ht="22.5">
      <c r="A477" s="686" t="s">
        <v>614</v>
      </c>
      <c r="B477" s="686"/>
      <c r="C477" s="686"/>
      <c r="D477" s="686"/>
      <c r="E477" s="686"/>
      <c r="F477" s="686"/>
    </row>
    <row r="478" spans="1:6" ht="22.5">
      <c r="A478" s="686" t="s">
        <v>691</v>
      </c>
      <c r="B478" s="686"/>
      <c r="C478" s="686"/>
      <c r="D478" s="686"/>
      <c r="E478" s="686"/>
      <c r="F478" s="686"/>
    </row>
    <row r="479" spans="1:6" ht="22.5">
      <c r="A479" s="687" t="s">
        <v>320</v>
      </c>
      <c r="B479" s="687"/>
      <c r="C479" s="687"/>
      <c r="D479" s="687"/>
      <c r="E479" s="687"/>
      <c r="F479" s="687"/>
    </row>
    <row r="480" spans="1:6" ht="22.5">
      <c r="A480" s="367" t="s">
        <v>489</v>
      </c>
      <c r="B480" s="367"/>
      <c r="C480" s="367"/>
      <c r="D480" s="367"/>
      <c r="E480" s="367"/>
      <c r="F480" s="367"/>
    </row>
    <row r="481" spans="1:6" ht="22.5">
      <c r="A481" s="368" t="s">
        <v>36</v>
      </c>
      <c r="B481" s="369" t="s">
        <v>35</v>
      </c>
      <c r="C481" s="688" t="s">
        <v>313</v>
      </c>
      <c r="D481" s="689"/>
      <c r="E481" s="690" t="s">
        <v>38</v>
      </c>
      <c r="F481" s="689"/>
    </row>
    <row r="482" spans="1:6" ht="22.5">
      <c r="A482" s="370" t="s">
        <v>695</v>
      </c>
      <c r="B482" s="371"/>
      <c r="C482" s="372">
        <v>9990</v>
      </c>
      <c r="D482" s="373" t="s">
        <v>53</v>
      </c>
      <c r="E482" s="374"/>
      <c r="F482" s="375"/>
    </row>
    <row r="483" spans="1:6" ht="22.5">
      <c r="A483" s="376" t="s">
        <v>314</v>
      </c>
      <c r="B483" s="377" t="s">
        <v>57</v>
      </c>
      <c r="C483" s="378"/>
      <c r="D483" s="379"/>
      <c r="E483" s="380">
        <f>C482</f>
        <v>9990</v>
      </c>
      <c r="F483" s="377" t="s">
        <v>53</v>
      </c>
    </row>
    <row r="484" spans="1:6" ht="22.5">
      <c r="A484" s="370"/>
      <c r="B484" s="377"/>
      <c r="C484" s="378"/>
      <c r="D484" s="379"/>
      <c r="E484" s="381"/>
      <c r="F484" s="382"/>
    </row>
    <row r="485" spans="1:6" ht="22.5">
      <c r="A485" s="370"/>
      <c r="B485" s="377"/>
      <c r="C485" s="381"/>
      <c r="D485" s="379"/>
      <c r="E485" s="381"/>
      <c r="F485" s="382"/>
    </row>
    <row r="486" spans="1:6" ht="22.5">
      <c r="A486" s="370"/>
      <c r="B486" s="377"/>
      <c r="C486" s="381"/>
      <c r="D486" s="379"/>
      <c r="E486" s="381"/>
      <c r="F486" s="382"/>
    </row>
    <row r="487" spans="1:6" ht="22.5">
      <c r="A487" s="370"/>
      <c r="B487" s="377"/>
      <c r="C487" s="381"/>
      <c r="D487" s="379"/>
      <c r="E487" s="381"/>
      <c r="F487" s="382"/>
    </row>
    <row r="488" spans="1:6" ht="22.5">
      <c r="A488" s="383"/>
      <c r="B488" s="377"/>
      <c r="C488" s="378"/>
      <c r="D488" s="379"/>
      <c r="E488" s="381"/>
      <c r="F488" s="382"/>
    </row>
    <row r="489" spans="1:6" ht="22.5">
      <c r="A489" s="370"/>
      <c r="B489" s="377"/>
      <c r="C489" s="378"/>
      <c r="D489" s="379"/>
      <c r="E489" s="381"/>
      <c r="F489" s="382"/>
    </row>
    <row r="490" spans="1:6" ht="22.5">
      <c r="A490" s="370"/>
      <c r="B490" s="377"/>
      <c r="C490" s="370"/>
      <c r="D490" s="379"/>
      <c r="E490" s="378"/>
      <c r="F490" s="382"/>
    </row>
    <row r="491" spans="1:6" ht="22.5">
      <c r="A491" s="384"/>
      <c r="B491" s="385"/>
      <c r="C491" s="386"/>
      <c r="D491" s="387"/>
      <c r="E491" s="388"/>
      <c r="F491" s="387"/>
    </row>
    <row r="492" spans="1:6" ht="22.5">
      <c r="A492" s="389" t="s">
        <v>321</v>
      </c>
      <c r="B492" s="390"/>
      <c r="C492" s="391"/>
      <c r="D492" s="379"/>
      <c r="E492" s="392"/>
      <c r="F492" s="382"/>
    </row>
    <row r="493" spans="1:6" ht="22.5">
      <c r="A493" s="683" t="s">
        <v>692</v>
      </c>
      <c r="B493" s="684"/>
      <c r="C493" s="684"/>
      <c r="D493" s="684"/>
      <c r="E493" s="684"/>
      <c r="F493" s="685"/>
    </row>
    <row r="494" spans="1:6" ht="22.5">
      <c r="A494" s="393" t="s">
        <v>693</v>
      </c>
      <c r="B494" s="390"/>
      <c r="C494" s="391"/>
      <c r="D494" s="379"/>
      <c r="E494" s="392"/>
      <c r="F494" s="382"/>
    </row>
    <row r="495" spans="1:6" ht="22.5">
      <c r="A495" s="394"/>
      <c r="B495" s="395"/>
      <c r="C495" s="391"/>
      <c r="D495" s="379"/>
      <c r="E495" s="392"/>
      <c r="F495" s="382"/>
    </row>
    <row r="496" spans="1:6" ht="22.5">
      <c r="A496" s="394"/>
      <c r="B496" s="395"/>
      <c r="C496" s="391"/>
      <c r="D496" s="379"/>
      <c r="E496" s="392"/>
      <c r="F496" s="382"/>
    </row>
    <row r="497" spans="1:6" ht="22.5">
      <c r="A497" s="394"/>
      <c r="B497" s="395"/>
      <c r="C497" s="391"/>
      <c r="D497" s="379"/>
      <c r="E497" s="392"/>
      <c r="F497" s="382"/>
    </row>
    <row r="498" spans="1:6" ht="22.5">
      <c r="A498" s="396"/>
      <c r="B498" s="390"/>
      <c r="C498" s="391"/>
      <c r="D498" s="379"/>
      <c r="E498" s="392"/>
      <c r="F498" s="382"/>
    </row>
    <row r="499" spans="1:6" ht="22.5">
      <c r="A499" s="396"/>
      <c r="B499" s="390"/>
      <c r="C499" s="391"/>
      <c r="D499" s="379"/>
      <c r="E499" s="392"/>
      <c r="F499" s="382"/>
    </row>
    <row r="500" spans="1:6" ht="22.5">
      <c r="A500" s="393" t="s">
        <v>322</v>
      </c>
      <c r="B500" s="391"/>
      <c r="C500" s="391"/>
      <c r="D500" s="379"/>
      <c r="E500" s="391"/>
      <c r="F500" s="375"/>
    </row>
    <row r="501" spans="1:6" ht="22.5">
      <c r="A501" s="393"/>
      <c r="B501" s="391"/>
      <c r="C501" s="391"/>
      <c r="D501" s="379"/>
      <c r="E501" s="391"/>
      <c r="F501" s="375"/>
    </row>
    <row r="502" spans="1:6" ht="22.5">
      <c r="A502" s="683"/>
      <c r="B502" s="684"/>
      <c r="C502" s="684"/>
      <c r="D502" s="684"/>
      <c r="E502" s="684"/>
      <c r="F502" s="685"/>
    </row>
    <row r="503" spans="1:6" ht="22.5">
      <c r="A503" s="393"/>
      <c r="B503" s="390"/>
      <c r="C503" s="391"/>
      <c r="D503" s="379"/>
      <c r="E503" s="392"/>
      <c r="F503" s="382"/>
    </row>
    <row r="504" spans="1:6" ht="22.5">
      <c r="A504" s="384"/>
      <c r="B504" s="397"/>
      <c r="C504" s="397"/>
      <c r="D504" s="397"/>
      <c r="E504" s="397"/>
      <c r="F504" s="398"/>
    </row>
    <row r="511" spans="1:6" ht="22.5">
      <c r="A511" s="686" t="s">
        <v>614</v>
      </c>
      <c r="B511" s="686"/>
      <c r="C511" s="686"/>
      <c r="D511" s="686"/>
      <c r="E511" s="686"/>
      <c r="F511" s="686"/>
    </row>
    <row r="512" spans="1:6" ht="22.5">
      <c r="A512" s="686" t="s">
        <v>694</v>
      </c>
      <c r="B512" s="686"/>
      <c r="C512" s="686"/>
      <c r="D512" s="686"/>
      <c r="E512" s="686"/>
      <c r="F512" s="686"/>
    </row>
    <row r="513" spans="1:6" ht="22.5">
      <c r="A513" s="687" t="s">
        <v>320</v>
      </c>
      <c r="B513" s="687"/>
      <c r="C513" s="687"/>
      <c r="D513" s="687"/>
      <c r="E513" s="687"/>
      <c r="F513" s="687"/>
    </row>
    <row r="514" spans="1:6" ht="22.5">
      <c r="A514" s="367" t="s">
        <v>489</v>
      </c>
      <c r="B514" s="367"/>
      <c r="C514" s="367"/>
      <c r="D514" s="367"/>
      <c r="E514" s="367"/>
      <c r="F514" s="367"/>
    </row>
    <row r="515" spans="1:6" ht="22.5">
      <c r="A515" s="368" t="s">
        <v>36</v>
      </c>
      <c r="B515" s="369" t="s">
        <v>35</v>
      </c>
      <c r="C515" s="688" t="s">
        <v>313</v>
      </c>
      <c r="D515" s="689"/>
      <c r="E515" s="690" t="s">
        <v>38</v>
      </c>
      <c r="F515" s="689"/>
    </row>
    <row r="516" spans="1:6" ht="22.5">
      <c r="A516" s="370" t="s">
        <v>697</v>
      </c>
      <c r="B516" s="371"/>
      <c r="C516" s="372">
        <v>3900</v>
      </c>
      <c r="D516" s="373" t="s">
        <v>53</v>
      </c>
      <c r="E516" s="374"/>
      <c r="F516" s="375"/>
    </row>
    <row r="517" spans="1:6" ht="22.5">
      <c r="A517" s="376" t="s">
        <v>314</v>
      </c>
      <c r="B517" s="377" t="s">
        <v>57</v>
      </c>
      <c r="C517" s="378"/>
      <c r="D517" s="379"/>
      <c r="E517" s="380">
        <f>C516</f>
        <v>3900</v>
      </c>
      <c r="F517" s="377" t="s">
        <v>53</v>
      </c>
    </row>
    <row r="518" spans="1:6" ht="22.5">
      <c r="A518" s="370"/>
      <c r="B518" s="377"/>
      <c r="C518" s="378"/>
      <c r="D518" s="379"/>
      <c r="E518" s="381"/>
      <c r="F518" s="382"/>
    </row>
    <row r="519" spans="1:6" ht="22.5">
      <c r="A519" s="370"/>
      <c r="B519" s="377"/>
      <c r="C519" s="381"/>
      <c r="D519" s="379"/>
      <c r="E519" s="381"/>
      <c r="F519" s="382"/>
    </row>
    <row r="520" spans="1:6" ht="22.5">
      <c r="A520" s="370"/>
      <c r="B520" s="377"/>
      <c r="C520" s="381"/>
      <c r="D520" s="379"/>
      <c r="E520" s="381"/>
      <c r="F520" s="382"/>
    </row>
    <row r="521" spans="1:6" ht="22.5">
      <c r="A521" s="370"/>
      <c r="B521" s="377"/>
      <c r="C521" s="381"/>
      <c r="D521" s="379"/>
      <c r="E521" s="381"/>
      <c r="F521" s="382"/>
    </row>
    <row r="522" spans="1:6" ht="22.5">
      <c r="A522" s="383"/>
      <c r="B522" s="377"/>
      <c r="C522" s="378"/>
      <c r="D522" s="379"/>
      <c r="E522" s="381"/>
      <c r="F522" s="382"/>
    </row>
    <row r="523" spans="1:6" ht="22.5">
      <c r="A523" s="370"/>
      <c r="B523" s="377"/>
      <c r="C523" s="378"/>
      <c r="D523" s="379"/>
      <c r="E523" s="381"/>
      <c r="F523" s="382"/>
    </row>
    <row r="524" spans="1:6" ht="22.5">
      <c r="A524" s="370"/>
      <c r="B524" s="377"/>
      <c r="C524" s="370"/>
      <c r="D524" s="379"/>
      <c r="E524" s="378"/>
      <c r="F524" s="382"/>
    </row>
    <row r="525" spans="1:6" ht="22.5">
      <c r="A525" s="384"/>
      <c r="B525" s="385"/>
      <c r="C525" s="386"/>
      <c r="D525" s="387"/>
      <c r="E525" s="388"/>
      <c r="F525" s="387"/>
    </row>
    <row r="526" spans="1:6" ht="22.5">
      <c r="A526" s="389" t="s">
        <v>321</v>
      </c>
      <c r="B526" s="390"/>
      <c r="C526" s="391"/>
      <c r="D526" s="379"/>
      <c r="E526" s="392"/>
      <c r="F526" s="382"/>
    </row>
    <row r="527" spans="1:6" ht="22.5">
      <c r="A527" s="683" t="s">
        <v>699</v>
      </c>
      <c r="B527" s="684"/>
      <c r="C527" s="684"/>
      <c r="D527" s="684"/>
      <c r="E527" s="684"/>
      <c r="F527" s="685"/>
    </row>
    <row r="528" spans="1:6" ht="22.5">
      <c r="A528" s="393" t="s">
        <v>696</v>
      </c>
      <c r="B528" s="390"/>
      <c r="C528" s="391"/>
      <c r="D528" s="379"/>
      <c r="E528" s="392"/>
      <c r="F528" s="382"/>
    </row>
    <row r="529" spans="1:6" ht="22.5">
      <c r="A529" s="394"/>
      <c r="B529" s="395"/>
      <c r="C529" s="391"/>
      <c r="D529" s="379"/>
      <c r="E529" s="392"/>
      <c r="F529" s="382"/>
    </row>
    <row r="530" spans="1:6" ht="22.5">
      <c r="A530" s="394"/>
      <c r="B530" s="395"/>
      <c r="C530" s="391"/>
      <c r="D530" s="379"/>
      <c r="E530" s="392"/>
      <c r="F530" s="382"/>
    </row>
    <row r="531" spans="1:6" ht="22.5">
      <c r="A531" s="394"/>
      <c r="B531" s="395"/>
      <c r="C531" s="391"/>
      <c r="D531" s="379"/>
      <c r="E531" s="392"/>
      <c r="F531" s="382"/>
    </row>
    <row r="532" spans="1:6" ht="22.5">
      <c r="A532" s="396"/>
      <c r="B532" s="390"/>
      <c r="C532" s="391"/>
      <c r="D532" s="379"/>
      <c r="E532" s="392"/>
      <c r="F532" s="382"/>
    </row>
    <row r="533" spans="1:6" ht="22.5">
      <c r="A533" s="396"/>
      <c r="B533" s="390"/>
      <c r="C533" s="391"/>
      <c r="D533" s="379"/>
      <c r="E533" s="392"/>
      <c r="F533" s="382"/>
    </row>
    <row r="534" spans="1:6" ht="22.5">
      <c r="A534" s="393" t="s">
        <v>322</v>
      </c>
      <c r="B534" s="391"/>
      <c r="C534" s="391"/>
      <c r="D534" s="379"/>
      <c r="E534" s="391"/>
      <c r="F534" s="375"/>
    </row>
    <row r="535" spans="1:6" ht="22.5">
      <c r="A535" s="393"/>
      <c r="B535" s="391"/>
      <c r="C535" s="391"/>
      <c r="D535" s="379"/>
      <c r="E535" s="391"/>
      <c r="F535" s="375"/>
    </row>
    <row r="536" spans="1:6" ht="22.5">
      <c r="A536" s="683"/>
      <c r="B536" s="684"/>
      <c r="C536" s="684"/>
      <c r="D536" s="684"/>
      <c r="E536" s="684"/>
      <c r="F536" s="685"/>
    </row>
    <row r="537" spans="1:6" ht="22.5">
      <c r="A537" s="393"/>
      <c r="B537" s="390"/>
      <c r="C537" s="391"/>
      <c r="D537" s="379"/>
      <c r="E537" s="392"/>
      <c r="F537" s="382"/>
    </row>
    <row r="538" spans="1:6" ht="22.5">
      <c r="A538" s="384"/>
      <c r="B538" s="397"/>
      <c r="C538" s="397"/>
      <c r="D538" s="397"/>
      <c r="E538" s="397"/>
      <c r="F538" s="398"/>
    </row>
    <row r="545" spans="1:6" ht="22.5">
      <c r="A545" s="686" t="s">
        <v>614</v>
      </c>
      <c r="B545" s="686"/>
      <c r="C545" s="686"/>
      <c r="D545" s="686"/>
      <c r="E545" s="686"/>
      <c r="F545" s="686"/>
    </row>
    <row r="546" spans="1:6" ht="22.5">
      <c r="A546" s="686" t="s">
        <v>698</v>
      </c>
      <c r="B546" s="686"/>
      <c r="C546" s="686"/>
      <c r="D546" s="686"/>
      <c r="E546" s="686"/>
      <c r="F546" s="686"/>
    </row>
    <row r="547" spans="1:6" ht="22.5">
      <c r="A547" s="687" t="s">
        <v>320</v>
      </c>
      <c r="B547" s="687"/>
      <c r="C547" s="687"/>
      <c r="D547" s="687"/>
      <c r="E547" s="687"/>
      <c r="F547" s="687"/>
    </row>
    <row r="548" spans="1:6" ht="22.5">
      <c r="A548" s="367" t="s">
        <v>489</v>
      </c>
      <c r="B548" s="367"/>
      <c r="C548" s="367"/>
      <c r="D548" s="367"/>
      <c r="E548" s="367"/>
      <c r="F548" s="367"/>
    </row>
    <row r="549" spans="1:6" ht="22.5">
      <c r="A549" s="368" t="s">
        <v>36</v>
      </c>
      <c r="B549" s="369" t="s">
        <v>35</v>
      </c>
      <c r="C549" s="688" t="s">
        <v>313</v>
      </c>
      <c r="D549" s="689"/>
      <c r="E549" s="690" t="s">
        <v>38</v>
      </c>
      <c r="F549" s="689"/>
    </row>
    <row r="550" spans="1:6" ht="22.5">
      <c r="A550" s="370" t="s">
        <v>43</v>
      </c>
      <c r="B550" s="371"/>
      <c r="C550" s="372">
        <v>6100</v>
      </c>
      <c r="D550" s="373" t="s">
        <v>53</v>
      </c>
      <c r="E550" s="374"/>
      <c r="F550" s="375"/>
    </row>
    <row r="551" spans="1:6" ht="22.5">
      <c r="A551" s="376" t="s">
        <v>314</v>
      </c>
      <c r="B551" s="377" t="s">
        <v>57</v>
      </c>
      <c r="C551" s="378"/>
      <c r="D551" s="379"/>
      <c r="E551" s="380">
        <f>C550</f>
        <v>6100</v>
      </c>
      <c r="F551" s="377" t="s">
        <v>53</v>
      </c>
    </row>
    <row r="552" spans="1:6" ht="22.5">
      <c r="A552" s="370"/>
      <c r="B552" s="377"/>
      <c r="C552" s="378"/>
      <c r="D552" s="379"/>
      <c r="E552" s="381"/>
      <c r="F552" s="382"/>
    </row>
    <row r="553" spans="1:6" ht="22.5">
      <c r="A553" s="370"/>
      <c r="B553" s="377"/>
      <c r="C553" s="381"/>
      <c r="D553" s="379"/>
      <c r="E553" s="381"/>
      <c r="F553" s="382"/>
    </row>
    <row r="554" spans="1:6" ht="22.5">
      <c r="A554" s="370"/>
      <c r="B554" s="377"/>
      <c r="C554" s="381"/>
      <c r="D554" s="379"/>
      <c r="E554" s="381"/>
      <c r="F554" s="382"/>
    </row>
    <row r="555" spans="1:6" ht="22.5">
      <c r="A555" s="370"/>
      <c r="B555" s="377"/>
      <c r="C555" s="381"/>
      <c r="D555" s="379"/>
      <c r="E555" s="381"/>
      <c r="F555" s="382"/>
    </row>
    <row r="556" spans="1:6" ht="22.5">
      <c r="A556" s="383"/>
      <c r="B556" s="377"/>
      <c r="C556" s="378"/>
      <c r="D556" s="379"/>
      <c r="E556" s="381"/>
      <c r="F556" s="382"/>
    </row>
    <row r="557" spans="1:6" ht="22.5">
      <c r="A557" s="370"/>
      <c r="B557" s="377"/>
      <c r="C557" s="378"/>
      <c r="D557" s="379"/>
      <c r="E557" s="381"/>
      <c r="F557" s="382"/>
    </row>
    <row r="558" spans="1:6" ht="22.5">
      <c r="A558" s="370"/>
      <c r="B558" s="377"/>
      <c r="C558" s="370"/>
      <c r="D558" s="379"/>
      <c r="E558" s="378"/>
      <c r="F558" s="382"/>
    </row>
    <row r="559" spans="1:6" ht="22.5">
      <c r="A559" s="384"/>
      <c r="B559" s="385"/>
      <c r="C559" s="386"/>
      <c r="D559" s="387"/>
      <c r="E559" s="388"/>
      <c r="F559" s="387"/>
    </row>
    <row r="560" spans="1:6" ht="22.5">
      <c r="A560" s="389" t="s">
        <v>321</v>
      </c>
      <c r="B560" s="390"/>
      <c r="C560" s="391"/>
      <c r="D560" s="379"/>
      <c r="E560" s="392"/>
      <c r="F560" s="382"/>
    </row>
    <row r="561" spans="1:6" ht="22.5">
      <c r="A561" s="683" t="s">
        <v>700</v>
      </c>
      <c r="B561" s="684"/>
      <c r="C561" s="684"/>
      <c r="D561" s="684"/>
      <c r="E561" s="684"/>
      <c r="F561" s="685"/>
    </row>
    <row r="562" spans="1:6" ht="22.5">
      <c r="A562" s="393" t="s">
        <v>701</v>
      </c>
      <c r="B562" s="390"/>
      <c r="C562" s="391"/>
      <c r="D562" s="379"/>
      <c r="E562" s="392"/>
      <c r="F562" s="382"/>
    </row>
    <row r="563" spans="1:6" ht="22.5">
      <c r="A563" s="394"/>
      <c r="B563" s="395"/>
      <c r="C563" s="391"/>
      <c r="D563" s="379"/>
      <c r="E563" s="392"/>
      <c r="F563" s="382"/>
    </row>
    <row r="564" spans="1:6" ht="22.5">
      <c r="A564" s="394"/>
      <c r="B564" s="395"/>
      <c r="C564" s="391"/>
      <c r="D564" s="379"/>
      <c r="E564" s="392"/>
      <c r="F564" s="382"/>
    </row>
    <row r="565" spans="1:6" ht="22.5">
      <c r="A565" s="394"/>
      <c r="B565" s="395"/>
      <c r="C565" s="391"/>
      <c r="D565" s="379"/>
      <c r="E565" s="392"/>
      <c r="F565" s="382"/>
    </row>
    <row r="566" spans="1:6" ht="22.5">
      <c r="A566" s="396"/>
      <c r="B566" s="390"/>
      <c r="C566" s="391"/>
      <c r="D566" s="379"/>
      <c r="E566" s="392"/>
      <c r="F566" s="382"/>
    </row>
    <row r="567" spans="1:6" ht="22.5">
      <c r="A567" s="396"/>
      <c r="B567" s="390"/>
      <c r="C567" s="391"/>
      <c r="D567" s="379"/>
      <c r="E567" s="392"/>
      <c r="F567" s="382"/>
    </row>
    <row r="568" spans="1:6" ht="22.5">
      <c r="A568" s="393" t="s">
        <v>322</v>
      </c>
      <c r="B568" s="391"/>
      <c r="C568" s="391"/>
      <c r="D568" s="379"/>
      <c r="E568" s="391"/>
      <c r="F568" s="375"/>
    </row>
    <row r="569" spans="1:6" ht="22.5">
      <c r="A569" s="393"/>
      <c r="B569" s="391"/>
      <c r="C569" s="391"/>
      <c r="D569" s="379"/>
      <c r="E569" s="391"/>
      <c r="F569" s="375"/>
    </row>
    <row r="570" spans="1:6" ht="22.5">
      <c r="A570" s="683"/>
      <c r="B570" s="684"/>
      <c r="C570" s="684"/>
      <c r="D570" s="684"/>
      <c r="E570" s="684"/>
      <c r="F570" s="685"/>
    </row>
    <row r="571" spans="1:6" ht="22.5">
      <c r="A571" s="393"/>
      <c r="B571" s="390"/>
      <c r="C571" s="391"/>
      <c r="D571" s="379"/>
      <c r="E571" s="392"/>
      <c r="F571" s="382"/>
    </row>
    <row r="572" spans="1:6" ht="22.5">
      <c r="A572" s="384"/>
      <c r="B572" s="397"/>
      <c r="C572" s="397"/>
      <c r="D572" s="397"/>
      <c r="E572" s="397"/>
      <c r="F572" s="398"/>
    </row>
    <row r="573" spans="1:6" ht="22.5">
      <c r="A573" s="391"/>
      <c r="B573" s="391"/>
      <c r="C573" s="391"/>
      <c r="D573" s="391"/>
      <c r="E573" s="391"/>
      <c r="F573" s="391"/>
    </row>
    <row r="574" spans="1:6" ht="22.5">
      <c r="A574" s="391"/>
      <c r="B574" s="391"/>
      <c r="C574" s="391"/>
      <c r="D574" s="391"/>
      <c r="E574" s="391"/>
      <c r="F574" s="391"/>
    </row>
    <row r="575" spans="1:6" ht="22.5">
      <c r="A575" s="391"/>
      <c r="B575" s="391"/>
      <c r="C575" s="391"/>
      <c r="D575" s="391"/>
      <c r="E575" s="391"/>
      <c r="F575" s="391"/>
    </row>
    <row r="576" spans="1:6" ht="22.5">
      <c r="A576" s="391"/>
      <c r="B576" s="391"/>
      <c r="C576" s="391"/>
      <c r="D576" s="391"/>
      <c r="E576" s="391"/>
      <c r="F576" s="391"/>
    </row>
    <row r="577" spans="1:6" ht="22.5">
      <c r="A577" s="391"/>
      <c r="B577" s="391"/>
      <c r="C577" s="391"/>
      <c r="D577" s="391"/>
      <c r="E577" s="391"/>
      <c r="F577" s="391"/>
    </row>
    <row r="578" spans="1:6" ht="22.5">
      <c r="A578" s="391"/>
      <c r="B578" s="391"/>
      <c r="C578" s="391"/>
      <c r="D578" s="391"/>
      <c r="E578" s="391"/>
      <c r="F578" s="391"/>
    </row>
    <row r="579" spans="1:6" ht="22.5">
      <c r="A579" s="686" t="s">
        <v>614</v>
      </c>
      <c r="B579" s="686"/>
      <c r="C579" s="686"/>
      <c r="D579" s="686"/>
      <c r="E579" s="686"/>
      <c r="F579" s="686"/>
    </row>
    <row r="580" spans="1:6" ht="22.5">
      <c r="A580" s="686" t="s">
        <v>694</v>
      </c>
      <c r="B580" s="686"/>
      <c r="C580" s="686"/>
      <c r="D580" s="686"/>
      <c r="E580" s="686"/>
      <c r="F580" s="686"/>
    </row>
    <row r="581" spans="1:6" ht="22.5">
      <c r="A581" s="687" t="s">
        <v>320</v>
      </c>
      <c r="B581" s="687"/>
      <c r="C581" s="687"/>
      <c r="D581" s="687"/>
      <c r="E581" s="687"/>
      <c r="F581" s="687"/>
    </row>
    <row r="582" spans="1:6" ht="22.5">
      <c r="A582" s="367" t="s">
        <v>489</v>
      </c>
      <c r="B582" s="367"/>
      <c r="C582" s="367"/>
      <c r="D582" s="367"/>
      <c r="E582" s="367"/>
      <c r="F582" s="367"/>
    </row>
    <row r="583" spans="1:6" ht="22.5">
      <c r="A583" s="368" t="s">
        <v>36</v>
      </c>
      <c r="B583" s="369" t="s">
        <v>35</v>
      </c>
      <c r="C583" s="688" t="s">
        <v>313</v>
      </c>
      <c r="D583" s="689"/>
      <c r="E583" s="690" t="s">
        <v>38</v>
      </c>
      <c r="F583" s="689"/>
    </row>
    <row r="584" spans="1:6" ht="22.5">
      <c r="A584" s="370" t="s">
        <v>697</v>
      </c>
      <c r="B584" s="371" t="s">
        <v>326</v>
      </c>
      <c r="C584" s="372">
        <v>3900</v>
      </c>
      <c r="D584" s="373" t="s">
        <v>53</v>
      </c>
      <c r="E584" s="374"/>
      <c r="F584" s="375"/>
    </row>
    <row r="585" spans="1:6" ht="22.5">
      <c r="A585" s="376" t="s">
        <v>314</v>
      </c>
      <c r="B585" s="377" t="s">
        <v>57</v>
      </c>
      <c r="C585" s="378"/>
      <c r="D585" s="379"/>
      <c r="E585" s="380">
        <f>C584</f>
        <v>3900</v>
      </c>
      <c r="F585" s="377" t="s">
        <v>53</v>
      </c>
    </row>
    <row r="586" spans="1:6" ht="22.5">
      <c r="A586" s="370"/>
      <c r="B586" s="377"/>
      <c r="C586" s="378"/>
      <c r="D586" s="379"/>
      <c r="E586" s="381"/>
      <c r="F586" s="382"/>
    </row>
    <row r="587" spans="1:6" ht="22.5">
      <c r="A587" s="370"/>
      <c r="B587" s="377"/>
      <c r="C587" s="381"/>
      <c r="D587" s="379"/>
      <c r="E587" s="381"/>
      <c r="F587" s="382"/>
    </row>
    <row r="588" spans="1:6" ht="22.5">
      <c r="A588" s="370"/>
      <c r="B588" s="377"/>
      <c r="C588" s="381"/>
      <c r="D588" s="379"/>
      <c r="E588" s="381"/>
      <c r="F588" s="382"/>
    </row>
    <row r="589" spans="1:6" ht="22.5">
      <c r="A589" s="370"/>
      <c r="B589" s="377"/>
      <c r="C589" s="381"/>
      <c r="D589" s="379"/>
      <c r="E589" s="381"/>
      <c r="F589" s="382"/>
    </row>
    <row r="590" spans="1:6" ht="22.5">
      <c r="A590" s="383"/>
      <c r="B590" s="377"/>
      <c r="C590" s="378"/>
      <c r="D590" s="379"/>
      <c r="E590" s="381"/>
      <c r="F590" s="382"/>
    </row>
    <row r="591" spans="1:6" ht="22.5">
      <c r="A591" s="370"/>
      <c r="B591" s="377"/>
      <c r="C591" s="378"/>
      <c r="D591" s="379"/>
      <c r="E591" s="381"/>
      <c r="F591" s="382"/>
    </row>
    <row r="592" spans="1:6" ht="22.5">
      <c r="A592" s="370"/>
      <c r="B592" s="377"/>
      <c r="C592" s="370"/>
      <c r="D592" s="379"/>
      <c r="E592" s="378"/>
      <c r="F592" s="382"/>
    </row>
    <row r="593" spans="1:6" ht="22.5">
      <c r="A593" s="384"/>
      <c r="B593" s="385"/>
      <c r="C593" s="386"/>
      <c r="D593" s="387"/>
      <c r="E593" s="388"/>
      <c r="F593" s="387"/>
    </row>
    <row r="594" spans="1:6" ht="22.5">
      <c r="A594" s="389" t="s">
        <v>321</v>
      </c>
      <c r="B594" s="390"/>
      <c r="C594" s="391"/>
      <c r="D594" s="379"/>
      <c r="E594" s="392"/>
      <c r="F594" s="382"/>
    </row>
    <row r="595" spans="1:6" ht="22.5">
      <c r="A595" s="683" t="s">
        <v>702</v>
      </c>
      <c r="B595" s="684"/>
      <c r="C595" s="684"/>
      <c r="D595" s="684"/>
      <c r="E595" s="684"/>
      <c r="F595" s="685"/>
    </row>
    <row r="596" spans="1:6" ht="22.5">
      <c r="A596" s="393" t="s">
        <v>703</v>
      </c>
      <c r="B596" s="390"/>
      <c r="C596" s="391"/>
      <c r="D596" s="379"/>
      <c r="E596" s="392"/>
      <c r="F596" s="382"/>
    </row>
    <row r="597" spans="1:6" ht="22.5">
      <c r="A597" s="394"/>
      <c r="B597" s="395"/>
      <c r="C597" s="391"/>
      <c r="D597" s="379"/>
      <c r="E597" s="392"/>
      <c r="F597" s="382"/>
    </row>
    <row r="598" spans="1:6" ht="22.5">
      <c r="A598" s="394"/>
      <c r="B598" s="395"/>
      <c r="C598" s="391"/>
      <c r="D598" s="379"/>
      <c r="E598" s="392"/>
      <c r="F598" s="382"/>
    </row>
    <row r="599" spans="1:6" ht="22.5">
      <c r="A599" s="394"/>
      <c r="B599" s="395"/>
      <c r="C599" s="391"/>
      <c r="D599" s="379"/>
      <c r="E599" s="392"/>
      <c r="F599" s="382"/>
    </row>
    <row r="600" spans="1:6" ht="22.5">
      <c r="A600" s="396"/>
      <c r="B600" s="390"/>
      <c r="C600" s="391"/>
      <c r="D600" s="379"/>
      <c r="E600" s="392"/>
      <c r="F600" s="382"/>
    </row>
    <row r="601" spans="1:6" ht="22.5">
      <c r="A601" s="396"/>
      <c r="B601" s="390"/>
      <c r="C601" s="391"/>
      <c r="D601" s="379"/>
      <c r="E601" s="392"/>
      <c r="F601" s="382"/>
    </row>
    <row r="602" spans="1:6" ht="22.5">
      <c r="A602" s="393" t="s">
        <v>322</v>
      </c>
      <c r="B602" s="391"/>
      <c r="C602" s="391"/>
      <c r="D602" s="379"/>
      <c r="E602" s="391"/>
      <c r="F602" s="375"/>
    </row>
    <row r="603" spans="1:6" ht="22.5">
      <c r="A603" s="393"/>
      <c r="B603" s="391"/>
      <c r="C603" s="391"/>
      <c r="D603" s="379"/>
      <c r="E603" s="391"/>
      <c r="F603" s="375"/>
    </row>
    <row r="604" spans="1:6" ht="22.5">
      <c r="A604" s="683"/>
      <c r="B604" s="684"/>
      <c r="C604" s="684"/>
      <c r="D604" s="684"/>
      <c r="E604" s="684"/>
      <c r="F604" s="685"/>
    </row>
    <row r="605" spans="1:6" ht="22.5">
      <c r="A605" s="393"/>
      <c r="B605" s="390"/>
      <c r="C605" s="391"/>
      <c r="D605" s="379"/>
      <c r="E605" s="392"/>
      <c r="F605" s="382"/>
    </row>
    <row r="606" spans="1:6" ht="22.5">
      <c r="A606" s="384"/>
      <c r="B606" s="397"/>
      <c r="C606" s="397"/>
      <c r="D606" s="397"/>
      <c r="E606" s="397"/>
      <c r="F606" s="398"/>
    </row>
    <row r="613" spans="1:6" ht="22.5">
      <c r="A613" s="686" t="s">
        <v>614</v>
      </c>
      <c r="B613" s="686"/>
      <c r="C613" s="686"/>
      <c r="D613" s="686"/>
      <c r="E613" s="686"/>
      <c r="F613" s="686"/>
    </row>
    <row r="614" spans="1:6" ht="22.5">
      <c r="A614" s="686" t="s">
        <v>694</v>
      </c>
      <c r="B614" s="686"/>
      <c r="C614" s="686"/>
      <c r="D614" s="686"/>
      <c r="E614" s="686"/>
      <c r="F614" s="686"/>
    </row>
    <row r="615" spans="1:6" ht="22.5">
      <c r="A615" s="687" t="s">
        <v>320</v>
      </c>
      <c r="B615" s="687"/>
      <c r="C615" s="687"/>
      <c r="D615" s="687"/>
      <c r="E615" s="687"/>
      <c r="F615" s="687"/>
    </row>
    <row r="616" spans="1:6" ht="22.5">
      <c r="A616" s="367" t="s">
        <v>489</v>
      </c>
      <c r="B616" s="367"/>
      <c r="C616" s="367"/>
      <c r="D616" s="367"/>
      <c r="E616" s="367"/>
      <c r="F616" s="367"/>
    </row>
    <row r="617" spans="1:6" ht="22.5">
      <c r="A617" s="368" t="s">
        <v>36</v>
      </c>
      <c r="B617" s="369" t="s">
        <v>35</v>
      </c>
      <c r="C617" s="688" t="s">
        <v>313</v>
      </c>
      <c r="D617" s="689"/>
      <c r="E617" s="690" t="s">
        <v>38</v>
      </c>
      <c r="F617" s="689"/>
    </row>
    <row r="618" spans="1:6" ht="22.5">
      <c r="A618" s="370" t="s">
        <v>697</v>
      </c>
      <c r="B618" s="371"/>
      <c r="C618" s="372">
        <v>24000</v>
      </c>
      <c r="D618" s="373" t="s">
        <v>53</v>
      </c>
      <c r="E618" s="374"/>
      <c r="F618" s="375"/>
    </row>
    <row r="619" spans="1:6" ht="22.5">
      <c r="A619" s="370" t="s">
        <v>704</v>
      </c>
      <c r="B619" s="377"/>
      <c r="C619" s="380">
        <v>7690</v>
      </c>
      <c r="D619" s="373"/>
      <c r="E619" s="370"/>
      <c r="F619" s="375"/>
    </row>
    <row r="620" spans="1:6" ht="22.5">
      <c r="A620" s="376" t="s">
        <v>314</v>
      </c>
      <c r="B620" s="377" t="s">
        <v>57</v>
      </c>
      <c r="C620" s="378"/>
      <c r="D620" s="379"/>
      <c r="E620" s="380">
        <f>+C618+C619</f>
        <v>31690</v>
      </c>
      <c r="F620" s="377" t="s">
        <v>53</v>
      </c>
    </row>
    <row r="621" spans="1:6" ht="22.5">
      <c r="A621" s="370"/>
      <c r="B621" s="377"/>
      <c r="C621" s="378"/>
      <c r="D621" s="379"/>
      <c r="E621" s="381"/>
      <c r="F621" s="382"/>
    </row>
    <row r="622" spans="1:6" ht="22.5">
      <c r="A622" s="370"/>
      <c r="B622" s="377"/>
      <c r="C622" s="381"/>
      <c r="D622" s="379"/>
      <c r="E622" s="381"/>
      <c r="F622" s="382"/>
    </row>
    <row r="623" spans="1:6" ht="22.5">
      <c r="A623" s="370"/>
      <c r="B623" s="377"/>
      <c r="C623" s="381"/>
      <c r="D623" s="379"/>
      <c r="E623" s="381"/>
      <c r="F623" s="382"/>
    </row>
    <row r="624" spans="1:6" ht="22.5">
      <c r="A624" s="370"/>
      <c r="B624" s="377"/>
      <c r="C624" s="381"/>
      <c r="D624" s="379"/>
      <c r="E624" s="381"/>
      <c r="F624" s="382"/>
    </row>
    <row r="625" spans="1:6" ht="22.5">
      <c r="A625" s="383"/>
      <c r="B625" s="377"/>
      <c r="C625" s="378"/>
      <c r="D625" s="379"/>
      <c r="E625" s="381"/>
      <c r="F625" s="382"/>
    </row>
    <row r="626" spans="1:6" ht="22.5">
      <c r="A626" s="370"/>
      <c r="B626" s="377"/>
      <c r="C626" s="378"/>
      <c r="D626" s="379"/>
      <c r="E626" s="381"/>
      <c r="F626" s="382"/>
    </row>
    <row r="627" spans="1:6" ht="22.5">
      <c r="A627" s="370"/>
      <c r="B627" s="377"/>
      <c r="C627" s="370"/>
      <c r="D627" s="379"/>
      <c r="E627" s="378"/>
      <c r="F627" s="382"/>
    </row>
    <row r="628" spans="1:6" ht="22.5">
      <c r="A628" s="384"/>
      <c r="B628" s="385"/>
      <c r="C628" s="386"/>
      <c r="D628" s="387"/>
      <c r="E628" s="388"/>
      <c r="F628" s="387"/>
    </row>
    <row r="629" spans="1:6" ht="22.5">
      <c r="A629" s="389" t="s">
        <v>321</v>
      </c>
      <c r="B629" s="390"/>
      <c r="C629" s="391"/>
      <c r="D629" s="379"/>
      <c r="E629" s="392"/>
      <c r="F629" s="382"/>
    </row>
    <row r="630" spans="1:6" ht="22.5">
      <c r="A630" s="683" t="s">
        <v>705</v>
      </c>
      <c r="B630" s="684"/>
      <c r="C630" s="684"/>
      <c r="D630" s="684"/>
      <c r="E630" s="684"/>
      <c r="F630" s="685"/>
    </row>
    <row r="631" spans="1:6" ht="22.5">
      <c r="A631" s="393" t="s">
        <v>706</v>
      </c>
      <c r="B631" s="390"/>
      <c r="C631" s="391"/>
      <c r="D631" s="379"/>
      <c r="E631" s="392"/>
      <c r="F631" s="382"/>
    </row>
    <row r="632" spans="1:6" ht="22.5">
      <c r="A632" s="394"/>
      <c r="B632" s="395"/>
      <c r="C632" s="391"/>
      <c r="D632" s="379"/>
      <c r="E632" s="392"/>
      <c r="F632" s="382"/>
    </row>
    <row r="633" spans="1:6" ht="22.5">
      <c r="A633" s="394"/>
      <c r="B633" s="395"/>
      <c r="C633" s="391"/>
      <c r="D633" s="379"/>
      <c r="E633" s="392"/>
      <c r="F633" s="382"/>
    </row>
    <row r="634" spans="1:6" ht="22.5">
      <c r="A634" s="394"/>
      <c r="B634" s="395"/>
      <c r="C634" s="391"/>
      <c r="D634" s="379"/>
      <c r="E634" s="392"/>
      <c r="F634" s="382"/>
    </row>
    <row r="635" spans="1:6" ht="22.5">
      <c r="A635" s="396"/>
      <c r="B635" s="390"/>
      <c r="C635" s="391"/>
      <c r="D635" s="379"/>
      <c r="E635" s="392"/>
      <c r="F635" s="382"/>
    </row>
    <row r="636" spans="1:6" ht="22.5">
      <c r="A636" s="396"/>
      <c r="B636" s="390"/>
      <c r="C636" s="391"/>
      <c r="D636" s="379"/>
      <c r="E636" s="392"/>
      <c r="F636" s="382"/>
    </row>
    <row r="637" spans="1:6" ht="22.5">
      <c r="A637" s="393" t="s">
        <v>322</v>
      </c>
      <c r="B637" s="391"/>
      <c r="C637" s="391"/>
      <c r="D637" s="379"/>
      <c r="E637" s="391"/>
      <c r="F637" s="375"/>
    </row>
    <row r="638" spans="1:6" ht="22.5">
      <c r="A638" s="393"/>
      <c r="B638" s="391"/>
      <c r="C638" s="391"/>
      <c r="D638" s="379"/>
      <c r="E638" s="391"/>
      <c r="F638" s="375"/>
    </row>
    <row r="639" spans="1:6" ht="22.5">
      <c r="A639" s="683"/>
      <c r="B639" s="684"/>
      <c r="C639" s="684"/>
      <c r="D639" s="684"/>
      <c r="E639" s="684"/>
      <c r="F639" s="685"/>
    </row>
    <row r="640" spans="1:6" ht="22.5">
      <c r="A640" s="393"/>
      <c r="B640" s="390"/>
      <c r="C640" s="391"/>
      <c r="D640" s="379"/>
      <c r="E640" s="392"/>
      <c r="F640" s="382"/>
    </row>
    <row r="641" spans="1:6" ht="22.5">
      <c r="A641" s="384"/>
      <c r="B641" s="397"/>
      <c r="C641" s="397"/>
      <c r="D641" s="397"/>
      <c r="E641" s="397"/>
      <c r="F641" s="398"/>
    </row>
    <row r="647" spans="1:6" ht="22.5">
      <c r="A647" s="686" t="s">
        <v>614</v>
      </c>
      <c r="B647" s="686"/>
      <c r="C647" s="686"/>
      <c r="D647" s="686"/>
      <c r="E647" s="686"/>
      <c r="F647" s="686"/>
    </row>
    <row r="648" spans="1:6" ht="22.5">
      <c r="A648" s="686" t="s">
        <v>613</v>
      </c>
      <c r="B648" s="686"/>
      <c r="C648" s="686"/>
      <c r="D648" s="686"/>
      <c r="E648" s="686"/>
      <c r="F648" s="686"/>
    </row>
    <row r="649" spans="1:6" ht="22.5">
      <c r="A649" s="687" t="s">
        <v>320</v>
      </c>
      <c r="B649" s="687"/>
      <c r="C649" s="687"/>
      <c r="D649" s="687"/>
      <c r="E649" s="687"/>
      <c r="F649" s="687"/>
    </row>
    <row r="650" spans="1:6" ht="22.5">
      <c r="A650" s="367" t="s">
        <v>489</v>
      </c>
      <c r="B650" s="367"/>
      <c r="C650" s="367"/>
      <c r="D650" s="367"/>
      <c r="E650" s="367"/>
      <c r="F650" s="367"/>
    </row>
    <row r="651" spans="1:6" ht="22.5">
      <c r="A651" s="368" t="s">
        <v>36</v>
      </c>
      <c r="B651" s="369" t="s">
        <v>35</v>
      </c>
      <c r="C651" s="688" t="s">
        <v>313</v>
      </c>
      <c r="D651" s="689"/>
      <c r="E651" s="690" t="s">
        <v>38</v>
      </c>
      <c r="F651" s="689"/>
    </row>
    <row r="652" spans="1:6" ht="22.5">
      <c r="A652" s="370" t="s">
        <v>697</v>
      </c>
      <c r="B652" s="371" t="s">
        <v>337</v>
      </c>
      <c r="C652" s="372">
        <v>15400</v>
      </c>
      <c r="D652" s="373" t="s">
        <v>53</v>
      </c>
      <c r="E652" s="374"/>
      <c r="F652" s="375"/>
    </row>
    <row r="653" spans="1:6" ht="22.5">
      <c r="A653" s="376" t="s">
        <v>314</v>
      </c>
      <c r="B653" s="377" t="s">
        <v>57</v>
      </c>
      <c r="C653" s="378"/>
      <c r="D653" s="379"/>
      <c r="E653" s="380">
        <f>C652</f>
        <v>15400</v>
      </c>
      <c r="F653" s="377" t="s">
        <v>53</v>
      </c>
    </row>
    <row r="654" spans="1:6" ht="22.5">
      <c r="A654" s="370"/>
      <c r="B654" s="377"/>
      <c r="C654" s="378"/>
      <c r="D654" s="379"/>
      <c r="E654" s="381"/>
      <c r="F654" s="382"/>
    </row>
    <row r="655" spans="1:6" ht="22.5">
      <c r="A655" s="370"/>
      <c r="B655" s="377"/>
      <c r="C655" s="381"/>
      <c r="D655" s="379"/>
      <c r="E655" s="381"/>
      <c r="F655" s="382"/>
    </row>
    <row r="656" spans="1:6" ht="22.5">
      <c r="A656" s="370"/>
      <c r="B656" s="377"/>
      <c r="C656" s="381"/>
      <c r="D656" s="379"/>
      <c r="E656" s="381"/>
      <c r="F656" s="382"/>
    </row>
    <row r="657" spans="1:6" ht="22.5">
      <c r="A657" s="370"/>
      <c r="B657" s="377"/>
      <c r="C657" s="381"/>
      <c r="D657" s="379"/>
      <c r="E657" s="381"/>
      <c r="F657" s="382"/>
    </row>
    <row r="658" spans="1:6" ht="22.5">
      <c r="A658" s="383"/>
      <c r="B658" s="377"/>
      <c r="C658" s="378"/>
      <c r="D658" s="379"/>
      <c r="E658" s="381"/>
      <c r="F658" s="382"/>
    </row>
    <row r="659" spans="1:6" ht="22.5">
      <c r="A659" s="370"/>
      <c r="B659" s="377"/>
      <c r="C659" s="378"/>
      <c r="D659" s="379"/>
      <c r="E659" s="381"/>
      <c r="F659" s="382"/>
    </row>
    <row r="660" spans="1:6" ht="22.5">
      <c r="A660" s="370"/>
      <c r="B660" s="377"/>
      <c r="C660" s="370"/>
      <c r="D660" s="379"/>
      <c r="E660" s="378"/>
      <c r="F660" s="382"/>
    </row>
    <row r="661" spans="1:6" ht="22.5">
      <c r="A661" s="384"/>
      <c r="B661" s="385"/>
      <c r="C661" s="386"/>
      <c r="D661" s="387"/>
      <c r="E661" s="388"/>
      <c r="F661" s="387"/>
    </row>
    <row r="662" spans="1:6" ht="22.5">
      <c r="A662" s="389" t="s">
        <v>321</v>
      </c>
      <c r="B662" s="390"/>
      <c r="C662" s="391"/>
      <c r="D662" s="379"/>
      <c r="E662" s="392"/>
      <c r="F662" s="382"/>
    </row>
    <row r="663" spans="1:6" ht="22.5">
      <c r="A663" s="683" t="s">
        <v>707</v>
      </c>
      <c r="B663" s="684"/>
      <c r="C663" s="684"/>
      <c r="D663" s="684"/>
      <c r="E663" s="684"/>
      <c r="F663" s="685"/>
    </row>
    <row r="664" spans="1:6" ht="22.5">
      <c r="A664" s="393" t="s">
        <v>708</v>
      </c>
      <c r="B664" s="390"/>
      <c r="C664" s="391"/>
      <c r="D664" s="379"/>
      <c r="E664" s="392"/>
      <c r="F664" s="382"/>
    </row>
    <row r="665" spans="1:6" ht="22.5">
      <c r="A665" s="394"/>
      <c r="B665" s="395"/>
      <c r="C665" s="391"/>
      <c r="D665" s="379"/>
      <c r="E665" s="392"/>
      <c r="F665" s="382"/>
    </row>
    <row r="666" spans="1:6" ht="22.5">
      <c r="A666" s="394"/>
      <c r="B666" s="395"/>
      <c r="C666" s="391"/>
      <c r="D666" s="379"/>
      <c r="E666" s="392"/>
      <c r="F666" s="382"/>
    </row>
    <row r="667" spans="1:6" ht="22.5">
      <c r="A667" s="394"/>
      <c r="B667" s="395"/>
      <c r="C667" s="391"/>
      <c r="D667" s="379"/>
      <c r="E667" s="392"/>
      <c r="F667" s="382"/>
    </row>
    <row r="668" spans="1:6" ht="22.5">
      <c r="A668" s="396"/>
      <c r="B668" s="390"/>
      <c r="C668" s="391"/>
      <c r="D668" s="379"/>
      <c r="E668" s="392"/>
      <c r="F668" s="382"/>
    </row>
    <row r="669" spans="1:6" ht="22.5">
      <c r="A669" s="396"/>
      <c r="B669" s="390"/>
      <c r="C669" s="391"/>
      <c r="D669" s="379"/>
      <c r="E669" s="392"/>
      <c r="F669" s="382"/>
    </row>
    <row r="670" spans="1:6" ht="22.5">
      <c r="A670" s="393" t="s">
        <v>322</v>
      </c>
      <c r="B670" s="391"/>
      <c r="C670" s="391"/>
      <c r="D670" s="379"/>
      <c r="E670" s="391"/>
      <c r="F670" s="375"/>
    </row>
    <row r="671" spans="1:6" ht="22.5">
      <c r="A671" s="393"/>
      <c r="B671" s="391"/>
      <c r="C671" s="391"/>
      <c r="D671" s="379"/>
      <c r="E671" s="391"/>
      <c r="F671" s="375"/>
    </row>
    <row r="672" spans="1:6" ht="22.5">
      <c r="A672" s="683"/>
      <c r="B672" s="684"/>
      <c r="C672" s="684"/>
      <c r="D672" s="684"/>
      <c r="E672" s="684"/>
      <c r="F672" s="685"/>
    </row>
    <row r="673" spans="1:6" ht="22.5">
      <c r="A673" s="393"/>
      <c r="B673" s="390"/>
      <c r="C673" s="391"/>
      <c r="D673" s="379"/>
      <c r="E673" s="392"/>
      <c r="F673" s="382"/>
    </row>
    <row r="674" spans="1:6" ht="22.5">
      <c r="A674" s="384"/>
      <c r="B674" s="397"/>
      <c r="C674" s="397"/>
      <c r="D674" s="397"/>
      <c r="E674" s="397"/>
      <c r="F674" s="398"/>
    </row>
    <row r="681" spans="1:6" ht="22.5">
      <c r="A681" s="686" t="s">
        <v>614</v>
      </c>
      <c r="B681" s="686"/>
      <c r="C681" s="686"/>
      <c r="D681" s="686"/>
      <c r="E681" s="686"/>
      <c r="F681" s="686"/>
    </row>
    <row r="682" spans="1:6" ht="22.5">
      <c r="A682" s="686" t="s">
        <v>709</v>
      </c>
      <c r="B682" s="686"/>
      <c r="C682" s="686"/>
      <c r="D682" s="686"/>
      <c r="E682" s="686"/>
      <c r="F682" s="686"/>
    </row>
    <row r="683" spans="1:6" ht="22.5">
      <c r="A683" s="687" t="s">
        <v>320</v>
      </c>
      <c r="B683" s="687"/>
      <c r="C683" s="687"/>
      <c r="D683" s="687"/>
      <c r="E683" s="687"/>
      <c r="F683" s="687"/>
    </row>
    <row r="684" spans="1:6" ht="22.5">
      <c r="A684" s="367" t="s">
        <v>489</v>
      </c>
      <c r="B684" s="367"/>
      <c r="C684" s="367"/>
      <c r="D684" s="367"/>
      <c r="E684" s="367"/>
      <c r="F684" s="367"/>
    </row>
    <row r="685" spans="1:6" ht="22.5">
      <c r="A685" s="368" t="s">
        <v>36</v>
      </c>
      <c r="B685" s="369" t="s">
        <v>35</v>
      </c>
      <c r="C685" s="688" t="s">
        <v>313</v>
      </c>
      <c r="D685" s="689"/>
      <c r="E685" s="690" t="s">
        <v>38</v>
      </c>
      <c r="F685" s="689"/>
    </row>
    <row r="686" spans="1:6" ht="22.5">
      <c r="A686" s="370" t="s">
        <v>697</v>
      </c>
      <c r="B686" s="371" t="s">
        <v>337</v>
      </c>
      <c r="C686" s="372">
        <v>2000</v>
      </c>
      <c r="D686" s="373" t="s">
        <v>53</v>
      </c>
      <c r="E686" s="374"/>
      <c r="F686" s="375"/>
    </row>
    <row r="687" spans="1:6" ht="22.5">
      <c r="A687" s="376" t="s">
        <v>314</v>
      </c>
      <c r="B687" s="377" t="s">
        <v>57</v>
      </c>
      <c r="C687" s="378"/>
      <c r="D687" s="379"/>
      <c r="E687" s="380">
        <f>C686</f>
        <v>2000</v>
      </c>
      <c r="F687" s="377" t="s">
        <v>53</v>
      </c>
    </row>
    <row r="688" spans="1:6" ht="22.5">
      <c r="A688" s="370"/>
      <c r="B688" s="377"/>
      <c r="C688" s="378"/>
      <c r="D688" s="379"/>
      <c r="E688" s="381"/>
      <c r="F688" s="382"/>
    </row>
    <row r="689" spans="1:6" ht="22.5">
      <c r="A689" s="370"/>
      <c r="B689" s="377"/>
      <c r="C689" s="381"/>
      <c r="D689" s="379"/>
      <c r="E689" s="381"/>
      <c r="F689" s="382"/>
    </row>
    <row r="690" spans="1:6" ht="22.5">
      <c r="A690" s="370"/>
      <c r="B690" s="377"/>
      <c r="C690" s="381"/>
      <c r="D690" s="379"/>
      <c r="E690" s="381"/>
      <c r="F690" s="382"/>
    </row>
    <row r="691" spans="1:6" ht="22.5">
      <c r="A691" s="370"/>
      <c r="B691" s="377"/>
      <c r="C691" s="381"/>
      <c r="D691" s="379"/>
      <c r="E691" s="381"/>
      <c r="F691" s="382"/>
    </row>
    <row r="692" spans="1:6" ht="22.5">
      <c r="A692" s="383"/>
      <c r="B692" s="377"/>
      <c r="C692" s="378"/>
      <c r="D692" s="379"/>
      <c r="E692" s="381"/>
      <c r="F692" s="382"/>
    </row>
    <row r="693" spans="1:6" ht="22.5">
      <c r="A693" s="370"/>
      <c r="B693" s="377"/>
      <c r="C693" s="378"/>
      <c r="D693" s="379"/>
      <c r="E693" s="381"/>
      <c r="F693" s="382"/>
    </row>
    <row r="694" spans="1:6" ht="22.5">
      <c r="A694" s="370"/>
      <c r="B694" s="377"/>
      <c r="C694" s="370"/>
      <c r="D694" s="379"/>
      <c r="E694" s="378"/>
      <c r="F694" s="382"/>
    </row>
    <row r="695" spans="1:6" ht="22.5">
      <c r="A695" s="384"/>
      <c r="B695" s="385"/>
      <c r="C695" s="386"/>
      <c r="D695" s="387"/>
      <c r="E695" s="388"/>
      <c r="F695" s="387"/>
    </row>
    <row r="696" spans="1:6" ht="22.5">
      <c r="A696" s="389" t="s">
        <v>321</v>
      </c>
      <c r="B696" s="390"/>
      <c r="C696" s="391"/>
      <c r="D696" s="379"/>
      <c r="E696" s="392"/>
      <c r="F696" s="382"/>
    </row>
    <row r="697" spans="1:6" ht="22.5">
      <c r="A697" s="683" t="s">
        <v>710</v>
      </c>
      <c r="B697" s="684"/>
      <c r="C697" s="684"/>
      <c r="D697" s="684"/>
      <c r="E697" s="684"/>
      <c r="F697" s="685"/>
    </row>
    <row r="698" spans="1:6" ht="22.5">
      <c r="A698" s="393" t="s">
        <v>711</v>
      </c>
      <c r="B698" s="390"/>
      <c r="C698" s="391"/>
      <c r="D698" s="379"/>
      <c r="E698" s="392"/>
      <c r="F698" s="382"/>
    </row>
    <row r="699" spans="1:6" ht="22.5">
      <c r="A699" s="394"/>
      <c r="B699" s="395"/>
      <c r="C699" s="391"/>
      <c r="D699" s="379"/>
      <c r="E699" s="392"/>
      <c r="F699" s="382"/>
    </row>
    <row r="700" spans="1:6" ht="22.5">
      <c r="A700" s="394"/>
      <c r="B700" s="395"/>
      <c r="C700" s="391"/>
      <c r="D700" s="379"/>
      <c r="E700" s="392"/>
      <c r="F700" s="382"/>
    </row>
    <row r="701" spans="1:6" ht="22.5">
      <c r="A701" s="394"/>
      <c r="B701" s="395"/>
      <c r="C701" s="391"/>
      <c r="D701" s="379"/>
      <c r="E701" s="392"/>
      <c r="F701" s="382"/>
    </row>
    <row r="702" spans="1:6" ht="22.5">
      <c r="A702" s="396"/>
      <c r="B702" s="390"/>
      <c r="C702" s="391"/>
      <c r="D702" s="379"/>
      <c r="E702" s="392"/>
      <c r="F702" s="382"/>
    </row>
    <row r="703" spans="1:6" ht="22.5">
      <c r="A703" s="396"/>
      <c r="B703" s="390"/>
      <c r="C703" s="391"/>
      <c r="D703" s="379"/>
      <c r="E703" s="392"/>
      <c r="F703" s="382"/>
    </row>
    <row r="704" spans="1:6" ht="22.5">
      <c r="A704" s="393" t="s">
        <v>322</v>
      </c>
      <c r="B704" s="391"/>
      <c r="C704" s="391"/>
      <c r="D704" s="379"/>
      <c r="E704" s="391"/>
      <c r="F704" s="375"/>
    </row>
    <row r="705" spans="1:6" ht="22.5">
      <c r="A705" s="393"/>
      <c r="B705" s="391"/>
      <c r="C705" s="391"/>
      <c r="D705" s="379"/>
      <c r="E705" s="391"/>
      <c r="F705" s="375"/>
    </row>
    <row r="706" spans="1:6" ht="22.5">
      <c r="A706" s="683"/>
      <c r="B706" s="684"/>
      <c r="C706" s="684"/>
      <c r="D706" s="684"/>
      <c r="E706" s="684"/>
      <c r="F706" s="685"/>
    </row>
    <row r="707" spans="1:6" ht="22.5">
      <c r="A707" s="393"/>
      <c r="B707" s="390"/>
      <c r="C707" s="391"/>
      <c r="D707" s="379"/>
      <c r="E707" s="392"/>
      <c r="F707" s="382"/>
    </row>
    <row r="708" spans="1:6" ht="22.5">
      <c r="A708" s="384"/>
      <c r="B708" s="397"/>
      <c r="C708" s="397"/>
      <c r="D708" s="397"/>
      <c r="E708" s="397"/>
      <c r="F708" s="398"/>
    </row>
  </sheetData>
  <sheetProtection/>
  <mergeCells count="147">
    <mergeCell ref="A37:F37"/>
    <mergeCell ref="A289:F289"/>
    <mergeCell ref="A35:F35"/>
    <mergeCell ref="A36:F36"/>
    <mergeCell ref="A275:F275"/>
    <mergeCell ref="C277:D277"/>
    <mergeCell ref="E277:F277"/>
    <mergeCell ref="C243:D243"/>
    <mergeCell ref="A240:F240"/>
    <mergeCell ref="E243:F243"/>
    <mergeCell ref="A1:F1"/>
    <mergeCell ref="A2:F2"/>
    <mergeCell ref="A3:F3"/>
    <mergeCell ref="C5:D5"/>
    <mergeCell ref="E5:F5"/>
    <mergeCell ref="A30:F30"/>
    <mergeCell ref="A22:F22"/>
    <mergeCell ref="C39:D39"/>
    <mergeCell ref="E39:F39"/>
    <mergeCell ref="A51:F51"/>
    <mergeCell ref="A60:F60"/>
    <mergeCell ref="A69:F69"/>
    <mergeCell ref="A103:F103"/>
    <mergeCell ref="A94:F94"/>
    <mergeCell ref="A104:F104"/>
    <mergeCell ref="A105:F105"/>
    <mergeCell ref="C107:D107"/>
    <mergeCell ref="E107:F107"/>
    <mergeCell ref="A70:F70"/>
    <mergeCell ref="A71:F71"/>
    <mergeCell ref="C73:D73"/>
    <mergeCell ref="E73:F73"/>
    <mergeCell ref="A85:F85"/>
    <mergeCell ref="A119:F119"/>
    <mergeCell ref="A128:F128"/>
    <mergeCell ref="A137:F137"/>
    <mergeCell ref="A138:F138"/>
    <mergeCell ref="A139:F139"/>
    <mergeCell ref="C141:D141"/>
    <mergeCell ref="E141:F141"/>
    <mergeCell ref="A153:F153"/>
    <mergeCell ref="A162:F162"/>
    <mergeCell ref="A171:F171"/>
    <mergeCell ref="A172:F172"/>
    <mergeCell ref="A173:F173"/>
    <mergeCell ref="C175:D175"/>
    <mergeCell ref="E175:F175"/>
    <mergeCell ref="A187:F187"/>
    <mergeCell ref="A196:F196"/>
    <mergeCell ref="A205:F205"/>
    <mergeCell ref="A206:F206"/>
    <mergeCell ref="A207:F207"/>
    <mergeCell ref="C209:D209"/>
    <mergeCell ref="E209:F209"/>
    <mergeCell ref="A341:F341"/>
    <mergeCell ref="A221:F221"/>
    <mergeCell ref="A230:F230"/>
    <mergeCell ref="A260:F260"/>
    <mergeCell ref="A268:F268"/>
    <mergeCell ref="A273:F273"/>
    <mergeCell ref="A274:F274"/>
    <mergeCell ref="A241:F241"/>
    <mergeCell ref="A239:F239"/>
    <mergeCell ref="A323:F323"/>
    <mergeCell ref="A332:F332"/>
    <mergeCell ref="A298:F298"/>
    <mergeCell ref="A307:F307"/>
    <mergeCell ref="A308:F308"/>
    <mergeCell ref="A309:F309"/>
    <mergeCell ref="C311:D311"/>
    <mergeCell ref="E311:F311"/>
    <mergeCell ref="A342:F342"/>
    <mergeCell ref="A343:F343"/>
    <mergeCell ref="C345:D345"/>
    <mergeCell ref="E345:F345"/>
    <mergeCell ref="A464:F464"/>
    <mergeCell ref="A357:F357"/>
    <mergeCell ref="A366:F366"/>
    <mergeCell ref="A375:F375"/>
    <mergeCell ref="A376:F376"/>
    <mergeCell ref="A377:F377"/>
    <mergeCell ref="C379:D379"/>
    <mergeCell ref="E379:F379"/>
    <mergeCell ref="A391:F391"/>
    <mergeCell ref="A400:F400"/>
    <mergeCell ref="A409:F409"/>
    <mergeCell ref="A410:F410"/>
    <mergeCell ref="A411:F411"/>
    <mergeCell ref="C413:D413"/>
    <mergeCell ref="E413:F413"/>
    <mergeCell ref="A425:F425"/>
    <mergeCell ref="A434:F434"/>
    <mergeCell ref="A443:F443"/>
    <mergeCell ref="A444:F444"/>
    <mergeCell ref="A445:F445"/>
    <mergeCell ref="C447:D447"/>
    <mergeCell ref="E447:F447"/>
    <mergeCell ref="A477:F477"/>
    <mergeCell ref="A478:F478"/>
    <mergeCell ref="A472:F472"/>
    <mergeCell ref="A479:F479"/>
    <mergeCell ref="C481:D481"/>
    <mergeCell ref="E481:F481"/>
    <mergeCell ref="A493:F493"/>
    <mergeCell ref="A502:F502"/>
    <mergeCell ref="A511:F511"/>
    <mergeCell ref="A512:F512"/>
    <mergeCell ref="A513:F513"/>
    <mergeCell ref="C515:D515"/>
    <mergeCell ref="E515:F515"/>
    <mergeCell ref="A527:F527"/>
    <mergeCell ref="A536:F536"/>
    <mergeCell ref="A545:F545"/>
    <mergeCell ref="A546:F546"/>
    <mergeCell ref="A547:F547"/>
    <mergeCell ref="C549:D549"/>
    <mergeCell ref="E549:F549"/>
    <mergeCell ref="A561:F561"/>
    <mergeCell ref="A570:F570"/>
    <mergeCell ref="A579:F579"/>
    <mergeCell ref="A580:F580"/>
    <mergeCell ref="A581:F581"/>
    <mergeCell ref="C583:D583"/>
    <mergeCell ref="E583:F583"/>
    <mergeCell ref="A595:F595"/>
    <mergeCell ref="A604:F604"/>
    <mergeCell ref="A613:F613"/>
    <mergeCell ref="A614:F614"/>
    <mergeCell ref="A615:F615"/>
    <mergeCell ref="C617:D617"/>
    <mergeCell ref="E617:F617"/>
    <mergeCell ref="A630:F630"/>
    <mergeCell ref="A639:F639"/>
    <mergeCell ref="A647:F647"/>
    <mergeCell ref="A648:F648"/>
    <mergeCell ref="A649:F649"/>
    <mergeCell ref="C651:D651"/>
    <mergeCell ref="E651:F651"/>
    <mergeCell ref="A697:F697"/>
    <mergeCell ref="A706:F706"/>
    <mergeCell ref="A663:F663"/>
    <mergeCell ref="A672:F672"/>
    <mergeCell ref="A681:F681"/>
    <mergeCell ref="A682:F682"/>
    <mergeCell ref="A683:F683"/>
    <mergeCell ref="C685:D685"/>
    <mergeCell ref="E685:F685"/>
  </mergeCells>
  <printOptions/>
  <pageMargins left="0.83" right="0.47" top="0.63" bottom="1" header="0.26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40"/>
  <sheetViews>
    <sheetView view="pageBreakPreview" zoomScaleSheetLayoutView="100" workbookViewId="0" topLeftCell="A10">
      <selection activeCell="E24" sqref="E24"/>
    </sheetView>
  </sheetViews>
  <sheetFormatPr defaultColWidth="9.140625" defaultRowHeight="21.75"/>
  <cols>
    <col min="1" max="1" width="62.28125" style="344" customWidth="1"/>
    <col min="2" max="2" width="10.00390625" style="344" customWidth="1"/>
    <col min="3" max="3" width="16.7109375" style="344" customWidth="1"/>
    <col min="4" max="4" width="16.421875" style="344" customWidth="1"/>
    <col min="5" max="5" width="29.421875" style="344" bestFit="1" customWidth="1"/>
    <col min="6" max="7" width="20.421875" style="344" bestFit="1" customWidth="1"/>
    <col min="8" max="16384" width="9.140625" style="344" customWidth="1"/>
  </cols>
  <sheetData>
    <row r="1" spans="1:4" ht="23.25">
      <c r="A1" s="691" t="s">
        <v>650</v>
      </c>
      <c r="B1" s="691"/>
      <c r="C1" s="691"/>
      <c r="D1" s="691"/>
    </row>
    <row r="2" spans="1:4" ht="23.25">
      <c r="A2" s="691" t="s">
        <v>649</v>
      </c>
      <c r="B2" s="691"/>
      <c r="C2" s="691"/>
      <c r="D2" s="691"/>
    </row>
    <row r="3" spans="1:4" ht="23.25">
      <c r="A3" s="692" t="s">
        <v>380</v>
      </c>
      <c r="B3" s="692"/>
      <c r="C3" s="692"/>
      <c r="D3" s="692"/>
    </row>
    <row r="4" spans="1:4" ht="23.25">
      <c r="A4" s="343" t="s">
        <v>489</v>
      </c>
      <c r="B4" s="343"/>
      <c r="C4" s="343"/>
      <c r="D4" s="343"/>
    </row>
    <row r="5" spans="1:4" ht="23.25">
      <c r="A5" s="345" t="s">
        <v>36</v>
      </c>
      <c r="B5" s="346" t="s">
        <v>35</v>
      </c>
      <c r="C5" s="346" t="s">
        <v>313</v>
      </c>
      <c r="D5" s="346" t="s">
        <v>38</v>
      </c>
    </row>
    <row r="6" spans="1:5" ht="23.25">
      <c r="A6" s="183" t="s">
        <v>381</v>
      </c>
      <c r="B6" s="347"/>
      <c r="C6" s="348">
        <v>95560.5</v>
      </c>
      <c r="D6" s="349"/>
      <c r="E6" s="366"/>
    </row>
    <row r="7" spans="1:5" ht="23.25">
      <c r="A7" s="183" t="s">
        <v>382</v>
      </c>
      <c r="B7" s="347"/>
      <c r="C7" s="348">
        <v>3957591.78</v>
      </c>
      <c r="D7" s="349"/>
      <c r="E7" s="366"/>
    </row>
    <row r="8" spans="1:5" ht="23.25">
      <c r="A8" s="183" t="s">
        <v>401</v>
      </c>
      <c r="B8" s="347"/>
      <c r="C8" s="348">
        <v>2450</v>
      </c>
      <c r="D8" s="349"/>
      <c r="E8" s="366"/>
    </row>
    <row r="9" spans="1:5" ht="23.25">
      <c r="A9" s="183" t="s">
        <v>651</v>
      </c>
      <c r="B9" s="347"/>
      <c r="C9" s="348">
        <v>192879.27</v>
      </c>
      <c r="D9" s="349"/>
      <c r="E9" s="366"/>
    </row>
    <row r="10" spans="1:5" ht="23.25">
      <c r="A10" s="183" t="s">
        <v>384</v>
      </c>
      <c r="B10" s="347"/>
      <c r="C10" s="348">
        <f>174603+15000</f>
        <v>189603</v>
      </c>
      <c r="D10" s="349"/>
      <c r="E10" s="366"/>
    </row>
    <row r="11" spans="1:4" ht="23.25">
      <c r="A11" s="183" t="s">
        <v>383</v>
      </c>
      <c r="B11" s="347"/>
      <c r="C11" s="348">
        <v>10108.17</v>
      </c>
      <c r="D11" s="349"/>
    </row>
    <row r="12" spans="1:4" ht="23.25">
      <c r="A12" s="183" t="s">
        <v>39</v>
      </c>
      <c r="B12" s="347"/>
      <c r="C12" s="348">
        <v>302111.5</v>
      </c>
      <c r="D12" s="349"/>
    </row>
    <row r="13" spans="1:4" ht="23.25">
      <c r="A13" s="437" t="s">
        <v>113</v>
      </c>
      <c r="B13" s="186"/>
      <c r="C13" s="348"/>
      <c r="D13" s="349">
        <v>2367565.09</v>
      </c>
    </row>
    <row r="14" spans="1:4" ht="23.25">
      <c r="A14" s="437" t="s">
        <v>652</v>
      </c>
      <c r="B14" s="186"/>
      <c r="C14" s="348"/>
      <c r="D14" s="349">
        <v>9208.28</v>
      </c>
    </row>
    <row r="15" spans="1:4" ht="23.25">
      <c r="A15" s="437" t="s">
        <v>653</v>
      </c>
      <c r="B15" s="186"/>
      <c r="C15" s="348"/>
      <c r="D15" s="349">
        <v>477000</v>
      </c>
    </row>
    <row r="16" spans="1:4" ht="23.25">
      <c r="A16" s="437" t="s">
        <v>655</v>
      </c>
      <c r="B16" s="186"/>
      <c r="C16" s="348"/>
      <c r="D16" s="349">
        <v>1412000</v>
      </c>
    </row>
    <row r="17" spans="1:4" ht="23.25">
      <c r="A17" s="437" t="s">
        <v>385</v>
      </c>
      <c r="B17" s="186"/>
      <c r="C17" s="348"/>
      <c r="D17" s="349">
        <v>264.35</v>
      </c>
    </row>
    <row r="18" spans="1:4" ht="23.25">
      <c r="A18" s="437" t="s">
        <v>421</v>
      </c>
      <c r="B18" s="186"/>
      <c r="C18" s="348"/>
      <c r="D18" s="349">
        <v>2250</v>
      </c>
    </row>
    <row r="19" spans="1:4" ht="23.25">
      <c r="A19" s="437" t="s">
        <v>654</v>
      </c>
      <c r="B19" s="186"/>
      <c r="C19" s="348"/>
      <c r="D19" s="349">
        <v>189603</v>
      </c>
    </row>
    <row r="20" spans="1:4" ht="23.25">
      <c r="A20" s="437" t="s">
        <v>574</v>
      </c>
      <c r="B20" s="186"/>
      <c r="C20" s="348"/>
      <c r="D20" s="349">
        <v>1400</v>
      </c>
    </row>
    <row r="21" spans="1:4" ht="23.25">
      <c r="A21" s="437" t="s">
        <v>575</v>
      </c>
      <c r="B21" s="186"/>
      <c r="C21" s="348"/>
      <c r="D21" s="349">
        <v>3400</v>
      </c>
    </row>
    <row r="22" spans="1:4" ht="23.25">
      <c r="A22" s="437" t="s">
        <v>39</v>
      </c>
      <c r="B22" s="186"/>
      <c r="C22" s="348"/>
      <c r="D22" s="349">
        <v>287613.5</v>
      </c>
    </row>
    <row r="23" spans="1:4" ht="23.25">
      <c r="A23" s="437"/>
      <c r="B23" s="186"/>
      <c r="C23" s="348"/>
      <c r="D23" s="349"/>
    </row>
    <row r="24" spans="1:4" ht="23.25">
      <c r="A24" s="437"/>
      <c r="B24" s="186"/>
      <c r="C24" s="348"/>
      <c r="D24" s="349"/>
    </row>
    <row r="25" spans="1:4" ht="23.25">
      <c r="A25" s="437"/>
      <c r="B25" s="186"/>
      <c r="C25" s="348"/>
      <c r="D25" s="349"/>
    </row>
    <row r="26" spans="1:5" ht="23.25">
      <c r="A26" s="437"/>
      <c r="B26" s="347"/>
      <c r="C26" s="348">
        <f>SUM(C6:C25)</f>
        <v>4750304.22</v>
      </c>
      <c r="D26" s="349">
        <f>SUM(D13:D25)</f>
        <v>4750304.219999999</v>
      </c>
      <c r="E26" s="473"/>
    </row>
    <row r="27" spans="1:5" ht="23.25">
      <c r="A27" s="183"/>
      <c r="B27" s="186"/>
      <c r="C27" s="349"/>
      <c r="D27" s="474"/>
      <c r="E27" s="366"/>
    </row>
    <row r="28" spans="1:4" ht="23.25">
      <c r="A28" s="352" t="s">
        <v>656</v>
      </c>
      <c r="B28" s="353"/>
      <c r="C28" s="353"/>
      <c r="D28" s="354"/>
    </row>
    <row r="29" spans="1:4" ht="23.25">
      <c r="A29" s="355"/>
      <c r="B29" s="47"/>
      <c r="C29" s="47"/>
      <c r="D29" s="356"/>
    </row>
    <row r="30" spans="1:4" ht="23.25">
      <c r="A30" s="355"/>
      <c r="B30" s="47"/>
      <c r="C30" s="47"/>
      <c r="D30" s="356"/>
    </row>
    <row r="31" spans="1:4" ht="20.25">
      <c r="A31" s="477"/>
      <c r="B31" s="478"/>
      <c r="C31" s="478"/>
      <c r="D31" s="479"/>
    </row>
    <row r="32" spans="1:4" ht="23.25">
      <c r="A32" s="198" t="s">
        <v>424</v>
      </c>
      <c r="B32" s="47"/>
      <c r="C32" s="47"/>
      <c r="D32" s="424"/>
    </row>
    <row r="33" spans="1:4" ht="23.25">
      <c r="A33" s="198"/>
      <c r="B33" s="47"/>
      <c r="C33" s="47"/>
      <c r="D33" s="424"/>
    </row>
    <row r="34" spans="1:4" ht="23.25">
      <c r="A34" s="198"/>
      <c r="B34" s="47"/>
      <c r="C34" s="47"/>
      <c r="D34" s="424"/>
    </row>
    <row r="35" spans="1:4" ht="23.25">
      <c r="A35" s="198"/>
      <c r="B35" s="47"/>
      <c r="C35" s="47"/>
      <c r="D35" s="362"/>
    </row>
    <row r="36" spans="1:4" ht="23.25">
      <c r="A36" s="363"/>
      <c r="B36" s="364"/>
      <c r="C36" s="364"/>
      <c r="D36" s="365"/>
    </row>
    <row r="40" spans="1:4" ht="23.25">
      <c r="A40" s="691" t="s">
        <v>411</v>
      </c>
      <c r="B40" s="691"/>
      <c r="C40" s="691"/>
      <c r="D40" s="691"/>
    </row>
    <row r="41" spans="1:4" ht="23.25">
      <c r="A41" s="691" t="s">
        <v>409</v>
      </c>
      <c r="B41" s="691"/>
      <c r="C41" s="691"/>
      <c r="D41" s="691"/>
    </row>
    <row r="42" spans="1:4" ht="23.25">
      <c r="A42" s="692" t="s">
        <v>380</v>
      </c>
      <c r="B42" s="692"/>
      <c r="C42" s="692"/>
      <c r="D42" s="692"/>
    </row>
    <row r="43" spans="1:4" ht="23.25">
      <c r="A43" s="343" t="s">
        <v>312</v>
      </c>
      <c r="B43" s="343"/>
      <c r="C43" s="343"/>
      <c r="D43" s="343"/>
    </row>
    <row r="44" spans="1:4" ht="23.25">
      <c r="A44" s="345" t="s">
        <v>36</v>
      </c>
      <c r="B44" s="346" t="s">
        <v>35</v>
      </c>
      <c r="C44" s="346" t="s">
        <v>313</v>
      </c>
      <c r="D44" s="346" t="s">
        <v>38</v>
      </c>
    </row>
    <row r="45" spans="1:4" ht="23.25">
      <c r="A45" s="183" t="s">
        <v>381</v>
      </c>
      <c r="B45" s="347"/>
      <c r="C45" s="348">
        <v>78605</v>
      </c>
      <c r="D45" s="349"/>
    </row>
    <row r="46" spans="1:4" ht="23.25">
      <c r="A46" s="183" t="s">
        <v>382</v>
      </c>
      <c r="B46" s="347"/>
      <c r="C46" s="348">
        <v>2586677.9</v>
      </c>
      <c r="D46" s="349"/>
    </row>
    <row r="47" spans="1:4" ht="23.25">
      <c r="A47" s="183" t="s">
        <v>384</v>
      </c>
      <c r="B47" s="347"/>
      <c r="C47" s="348">
        <v>20000</v>
      </c>
      <c r="D47" s="349"/>
    </row>
    <row r="48" spans="1:4" ht="23.25">
      <c r="A48" s="183" t="s">
        <v>401</v>
      </c>
      <c r="B48" s="347"/>
      <c r="C48" s="348">
        <v>350</v>
      </c>
      <c r="D48" s="349"/>
    </row>
    <row r="49" spans="1:4" ht="23.25">
      <c r="A49" s="183" t="s">
        <v>39</v>
      </c>
      <c r="B49" s="186"/>
      <c r="C49" s="348">
        <v>126578</v>
      </c>
      <c r="D49" s="349"/>
    </row>
    <row r="50" spans="1:4" ht="23.25">
      <c r="A50" s="437" t="s">
        <v>113</v>
      </c>
      <c r="B50" s="186"/>
      <c r="C50" s="348"/>
      <c r="D50" s="349">
        <v>835689.42</v>
      </c>
    </row>
    <row r="51" spans="1:4" ht="23.25">
      <c r="A51" s="437" t="s">
        <v>402</v>
      </c>
      <c r="B51" s="186"/>
      <c r="C51" s="348"/>
      <c r="D51" s="349">
        <v>1757700</v>
      </c>
    </row>
    <row r="52" spans="1:4" ht="23.25">
      <c r="A52" s="437" t="s">
        <v>403</v>
      </c>
      <c r="B52" s="186"/>
      <c r="C52" s="348"/>
      <c r="D52" s="349"/>
    </row>
    <row r="53" spans="1:4" ht="23.25">
      <c r="A53" s="437" t="s">
        <v>39</v>
      </c>
      <c r="B53" s="186"/>
      <c r="C53" s="348"/>
      <c r="D53" s="349">
        <v>98955</v>
      </c>
    </row>
    <row r="54" spans="1:4" ht="23.25">
      <c r="A54" s="437" t="s">
        <v>385</v>
      </c>
      <c r="B54" s="186"/>
      <c r="C54" s="348"/>
      <c r="D54" s="349">
        <v>63.6</v>
      </c>
    </row>
    <row r="55" spans="1:4" ht="23.25">
      <c r="A55" s="437" t="s">
        <v>386</v>
      </c>
      <c r="B55" s="186"/>
      <c r="C55" s="348"/>
      <c r="D55" s="349">
        <v>76.32</v>
      </c>
    </row>
    <row r="56" spans="1:4" ht="23.25">
      <c r="A56" s="437" t="s">
        <v>388</v>
      </c>
      <c r="B56" s="186"/>
      <c r="C56" s="348"/>
      <c r="D56" s="349">
        <v>20000</v>
      </c>
    </row>
    <row r="57" spans="1:4" ht="23.25">
      <c r="A57" s="437" t="s">
        <v>364</v>
      </c>
      <c r="B57" s="186"/>
      <c r="C57" s="348"/>
      <c r="D57" s="349">
        <v>300</v>
      </c>
    </row>
    <row r="58" spans="1:4" ht="23.25">
      <c r="A58" s="437" t="s">
        <v>387</v>
      </c>
      <c r="B58" s="186"/>
      <c r="C58" s="348"/>
      <c r="D58" s="349">
        <v>13950</v>
      </c>
    </row>
    <row r="59" spans="1:4" ht="23.25">
      <c r="A59" s="437" t="s">
        <v>404</v>
      </c>
      <c r="B59" s="186"/>
      <c r="C59" s="348"/>
      <c r="D59" s="349">
        <v>39210</v>
      </c>
    </row>
    <row r="60" spans="1:4" ht="23.25">
      <c r="A60" s="437" t="s">
        <v>405</v>
      </c>
      <c r="B60" s="186"/>
      <c r="C60" s="348"/>
      <c r="D60" s="349">
        <v>3350</v>
      </c>
    </row>
    <row r="61" spans="1:4" ht="23.25">
      <c r="A61" s="437" t="s">
        <v>406</v>
      </c>
      <c r="B61" s="186"/>
      <c r="C61" s="348"/>
      <c r="D61" s="349">
        <v>18416.56</v>
      </c>
    </row>
    <row r="62" spans="1:4" ht="23.25">
      <c r="A62" s="437" t="s">
        <v>48</v>
      </c>
      <c r="B62" s="186"/>
      <c r="C62" s="348"/>
      <c r="D62" s="349">
        <v>14500</v>
      </c>
    </row>
    <row r="63" spans="1:4" ht="23.25">
      <c r="A63" s="437" t="s">
        <v>407</v>
      </c>
      <c r="B63" s="186"/>
      <c r="C63" s="348"/>
      <c r="D63" s="349">
        <v>10000</v>
      </c>
    </row>
    <row r="64" spans="1:5" ht="23.25">
      <c r="A64" s="437"/>
      <c r="B64" s="347"/>
      <c r="C64" s="480">
        <f>SUM(C45:C55)</f>
        <v>2812210.9</v>
      </c>
      <c r="D64" s="481">
        <f>SUM(D50:D63)</f>
        <v>2812210.9</v>
      </c>
      <c r="E64" s="473">
        <f>C64-D64</f>
        <v>0</v>
      </c>
    </row>
    <row r="65" spans="1:5" ht="23.25">
      <c r="A65" s="183"/>
      <c r="B65" s="186"/>
      <c r="C65" s="349"/>
      <c r="D65" s="474"/>
      <c r="E65" s="482"/>
    </row>
    <row r="66" spans="1:4" ht="23.25">
      <c r="A66" s="352" t="s">
        <v>408</v>
      </c>
      <c r="B66" s="353"/>
      <c r="C66" s="353"/>
      <c r="D66" s="354"/>
    </row>
    <row r="67" spans="1:4" ht="20.25">
      <c r="A67" s="477"/>
      <c r="B67" s="478"/>
      <c r="C67" s="478"/>
      <c r="D67" s="479"/>
    </row>
    <row r="68" spans="1:4" ht="23.25">
      <c r="A68" s="198" t="s">
        <v>424</v>
      </c>
      <c r="B68" s="47"/>
      <c r="C68" s="47"/>
      <c r="D68" s="424"/>
    </row>
    <row r="69" spans="1:4" ht="23.25">
      <c r="A69" s="198"/>
      <c r="B69" s="47"/>
      <c r="C69" s="47"/>
      <c r="D69" s="424"/>
    </row>
    <row r="70" spans="1:4" ht="23.25">
      <c r="A70" s="198"/>
      <c r="B70" s="47"/>
      <c r="C70" s="47"/>
      <c r="D70" s="424"/>
    </row>
    <row r="71" spans="1:4" ht="23.25">
      <c r="A71" s="198"/>
      <c r="B71" s="47"/>
      <c r="C71" s="47"/>
      <c r="D71" s="362"/>
    </row>
    <row r="72" spans="1:4" ht="23.25">
      <c r="A72" s="363"/>
      <c r="B72" s="364"/>
      <c r="C72" s="364"/>
      <c r="D72" s="365"/>
    </row>
    <row r="74" spans="1:4" ht="23.25">
      <c r="A74" s="691" t="s">
        <v>417</v>
      </c>
      <c r="B74" s="691"/>
      <c r="C74" s="691"/>
      <c r="D74" s="691"/>
    </row>
    <row r="75" spans="1:4" ht="23.25">
      <c r="A75" s="691" t="s">
        <v>410</v>
      </c>
      <c r="B75" s="691"/>
      <c r="C75" s="691"/>
      <c r="D75" s="691"/>
    </row>
    <row r="76" spans="1:4" ht="23.25">
      <c r="A76" s="692" t="s">
        <v>380</v>
      </c>
      <c r="B76" s="692"/>
      <c r="C76" s="692"/>
      <c r="D76" s="692"/>
    </row>
    <row r="77" spans="1:4" ht="23.25">
      <c r="A77" s="343" t="s">
        <v>312</v>
      </c>
      <c r="B77" s="343"/>
      <c r="C77" s="343"/>
      <c r="D77" s="343"/>
    </row>
    <row r="78" spans="1:4" ht="23.25">
      <c r="A78" s="345" t="s">
        <v>36</v>
      </c>
      <c r="B78" s="346" t="s">
        <v>35</v>
      </c>
      <c r="C78" s="346" t="s">
        <v>313</v>
      </c>
      <c r="D78" s="346" t="s">
        <v>38</v>
      </c>
    </row>
    <row r="79" spans="1:4" ht="23.25">
      <c r="A79" s="183" t="s">
        <v>381</v>
      </c>
      <c r="B79" s="347"/>
      <c r="C79" s="348">
        <v>105351.5</v>
      </c>
      <c r="D79" s="349"/>
    </row>
    <row r="80" spans="1:4" ht="23.25">
      <c r="A80" s="183" t="s">
        <v>382</v>
      </c>
      <c r="B80" s="347"/>
      <c r="C80" s="348">
        <v>2237521.57</v>
      </c>
      <c r="D80" s="349"/>
    </row>
    <row r="81" spans="1:4" ht="23.25">
      <c r="A81" s="183" t="s">
        <v>384</v>
      </c>
      <c r="B81" s="347"/>
      <c r="C81" s="348">
        <f>148001+7006</f>
        <v>155007</v>
      </c>
      <c r="D81" s="349"/>
    </row>
    <row r="82" spans="1:4" ht="23.25">
      <c r="A82" s="183" t="s">
        <v>383</v>
      </c>
      <c r="B82" s="347"/>
      <c r="C82" s="348">
        <v>14893.1</v>
      </c>
      <c r="D82" s="349"/>
    </row>
    <row r="83" spans="1:4" ht="23.25">
      <c r="A83" s="183" t="s">
        <v>39</v>
      </c>
      <c r="B83" s="186"/>
      <c r="C83" s="348">
        <v>229193.5</v>
      </c>
      <c r="D83" s="349"/>
    </row>
    <row r="84" spans="1:4" ht="23.25">
      <c r="A84" s="437" t="s">
        <v>113</v>
      </c>
      <c r="B84" s="186"/>
      <c r="C84" s="348"/>
      <c r="D84" s="349">
        <v>2302976.39</v>
      </c>
    </row>
    <row r="85" spans="1:4" ht="23.25">
      <c r="A85" s="437" t="s">
        <v>407</v>
      </c>
      <c r="B85" s="186"/>
      <c r="C85" s="348"/>
      <c r="D85" s="349">
        <v>2500</v>
      </c>
    </row>
    <row r="86" spans="1:4" ht="23.25">
      <c r="A86" s="437" t="s">
        <v>414</v>
      </c>
      <c r="B86" s="186"/>
      <c r="C86" s="348"/>
      <c r="D86" s="349">
        <v>5500</v>
      </c>
    </row>
    <row r="87" spans="1:4" ht="23.25">
      <c r="A87" s="437" t="s">
        <v>39</v>
      </c>
      <c r="B87" s="186"/>
      <c r="C87" s="348"/>
      <c r="D87" s="349">
        <f>253352.5+7006</f>
        <v>260358.5</v>
      </c>
    </row>
    <row r="88" spans="1:4" ht="23.25">
      <c r="A88" s="437" t="s">
        <v>363</v>
      </c>
      <c r="B88" s="186"/>
      <c r="C88" s="348"/>
      <c r="D88" s="349">
        <v>84</v>
      </c>
    </row>
    <row r="89" spans="1:4" ht="23.25">
      <c r="A89" s="437" t="s">
        <v>415</v>
      </c>
      <c r="B89" s="186"/>
      <c r="C89" s="348"/>
      <c r="D89" s="349">
        <v>767</v>
      </c>
    </row>
    <row r="90" spans="1:4" ht="23.25">
      <c r="A90" s="437" t="s">
        <v>406</v>
      </c>
      <c r="B90" s="186"/>
      <c r="C90" s="348"/>
      <c r="D90" s="349">
        <v>9208.28</v>
      </c>
    </row>
    <row r="91" spans="1:4" ht="23.25">
      <c r="A91" s="437" t="s">
        <v>364</v>
      </c>
      <c r="B91" s="186"/>
      <c r="C91" s="348"/>
      <c r="D91" s="349">
        <v>565.5</v>
      </c>
    </row>
    <row r="92" spans="1:4" ht="23.25">
      <c r="A92" s="437" t="s">
        <v>422</v>
      </c>
      <c r="B92" s="186"/>
      <c r="C92" s="348"/>
      <c r="D92" s="349">
        <v>160007</v>
      </c>
    </row>
    <row r="93" spans="1:4" ht="23.25">
      <c r="A93" s="437"/>
      <c r="B93" s="186"/>
      <c r="C93" s="348"/>
      <c r="D93" s="349"/>
    </row>
    <row r="94" spans="1:4" ht="23.25">
      <c r="A94" s="183"/>
      <c r="B94" s="186"/>
      <c r="C94" s="349"/>
      <c r="D94" s="474"/>
    </row>
    <row r="95" spans="1:4" ht="23.25">
      <c r="A95" s="352" t="s">
        <v>416</v>
      </c>
      <c r="B95" s="353"/>
      <c r="C95" s="353"/>
      <c r="D95" s="354"/>
    </row>
    <row r="96" spans="1:4" ht="20.25">
      <c r="A96" s="477"/>
      <c r="B96" s="478"/>
      <c r="C96" s="478"/>
      <c r="D96" s="479"/>
    </row>
    <row r="97" spans="1:4" ht="23.25">
      <c r="A97" s="198" t="s">
        <v>424</v>
      </c>
      <c r="B97" s="47"/>
      <c r="C97" s="47"/>
      <c r="D97" s="424"/>
    </row>
    <row r="98" spans="1:4" ht="23.25">
      <c r="A98" s="198"/>
      <c r="B98" s="47"/>
      <c r="C98" s="47"/>
      <c r="D98" s="424"/>
    </row>
    <row r="99" spans="1:4" ht="23.25">
      <c r="A99" s="198"/>
      <c r="B99" s="47"/>
      <c r="C99" s="47"/>
      <c r="D99" s="424"/>
    </row>
    <row r="100" spans="1:4" ht="23.25">
      <c r="A100" s="198"/>
      <c r="B100" s="47"/>
      <c r="C100" s="47"/>
      <c r="D100" s="424"/>
    </row>
    <row r="101" spans="1:4" ht="23.25">
      <c r="A101" s="198"/>
      <c r="B101" s="47"/>
      <c r="C101" s="47"/>
      <c r="D101" s="424"/>
    </row>
    <row r="102" spans="1:4" ht="23.25">
      <c r="A102" s="198"/>
      <c r="B102" s="47"/>
      <c r="C102" s="47"/>
      <c r="D102" s="362"/>
    </row>
    <row r="103" spans="1:4" ht="23.25">
      <c r="A103" s="363"/>
      <c r="B103" s="364"/>
      <c r="C103" s="364"/>
      <c r="D103" s="365"/>
    </row>
    <row r="104" spans="1:4" ht="23.25">
      <c r="A104" s="353"/>
      <c r="B104" s="353"/>
      <c r="C104" s="353"/>
      <c r="D104" s="353"/>
    </row>
    <row r="105" spans="1:4" ht="23.25">
      <c r="A105" s="47"/>
      <c r="B105" s="47"/>
      <c r="C105" s="47"/>
      <c r="D105" s="483"/>
    </row>
    <row r="106" spans="1:4" ht="23.25">
      <c r="A106" s="47"/>
      <c r="B106" s="47"/>
      <c r="C106" s="47"/>
      <c r="D106" s="47"/>
    </row>
    <row r="108" spans="1:4" ht="23.25">
      <c r="A108" s="691" t="s">
        <v>413</v>
      </c>
      <c r="B108" s="691"/>
      <c r="C108" s="691"/>
      <c r="D108" s="691"/>
    </row>
    <row r="109" spans="1:4" ht="23.25">
      <c r="A109" s="691" t="s">
        <v>412</v>
      </c>
      <c r="B109" s="691"/>
      <c r="C109" s="691"/>
      <c r="D109" s="691"/>
    </row>
    <row r="110" spans="1:4" ht="23.25">
      <c r="A110" s="692" t="s">
        <v>380</v>
      </c>
      <c r="B110" s="692"/>
      <c r="C110" s="692"/>
      <c r="D110" s="692"/>
    </row>
    <row r="111" spans="1:4" ht="23.25">
      <c r="A111" s="343" t="s">
        <v>312</v>
      </c>
      <c r="B111" s="343"/>
      <c r="C111" s="343"/>
      <c r="D111" s="343"/>
    </row>
    <row r="112" spans="1:4" ht="23.25">
      <c r="A112" s="345" t="s">
        <v>36</v>
      </c>
      <c r="B112" s="346" t="s">
        <v>35</v>
      </c>
      <c r="C112" s="346" t="s">
        <v>313</v>
      </c>
      <c r="D112" s="346" t="s">
        <v>38</v>
      </c>
    </row>
    <row r="113" spans="1:4" ht="23.25">
      <c r="A113" s="183" t="s">
        <v>381</v>
      </c>
      <c r="B113" s="347"/>
      <c r="C113" s="348">
        <v>340609</v>
      </c>
      <c r="D113" s="349"/>
    </row>
    <row r="114" spans="1:4" ht="23.25">
      <c r="A114" s="183" t="s">
        <v>382</v>
      </c>
      <c r="B114" s="347"/>
      <c r="C114" s="348">
        <v>2098838.59</v>
      </c>
      <c r="D114" s="349"/>
    </row>
    <row r="115" spans="1:4" ht="23.25">
      <c r="A115" s="183" t="s">
        <v>384</v>
      </c>
      <c r="B115" s="347"/>
      <c r="C115" s="348">
        <v>15022</v>
      </c>
      <c r="D115" s="349"/>
    </row>
    <row r="116" spans="1:4" ht="23.25">
      <c r="A116" s="183" t="s">
        <v>418</v>
      </c>
      <c r="B116" s="347"/>
      <c r="C116" s="348">
        <v>426.54</v>
      </c>
      <c r="D116" s="349"/>
    </row>
    <row r="117" spans="1:4" ht="23.25">
      <c r="A117" s="183" t="s">
        <v>401</v>
      </c>
      <c r="B117" s="347"/>
      <c r="C117" s="348">
        <v>700</v>
      </c>
      <c r="D117" s="349"/>
    </row>
    <row r="118" spans="1:4" ht="23.25">
      <c r="A118" s="183" t="s">
        <v>39</v>
      </c>
      <c r="B118" s="186"/>
      <c r="C118" s="348">
        <v>381422</v>
      </c>
      <c r="D118" s="349"/>
    </row>
    <row r="119" spans="1:4" ht="23.25">
      <c r="A119" s="437" t="s">
        <v>113</v>
      </c>
      <c r="B119" s="186"/>
      <c r="C119" s="348"/>
      <c r="D119" s="349">
        <v>938376.87</v>
      </c>
    </row>
    <row r="120" spans="1:4" ht="23.25">
      <c r="A120" s="437" t="s">
        <v>402</v>
      </c>
      <c r="B120" s="186"/>
      <c r="C120" s="348"/>
      <c r="D120" s="349">
        <v>1484000</v>
      </c>
    </row>
    <row r="121" spans="1:4" ht="23.25">
      <c r="A121" s="437" t="s">
        <v>419</v>
      </c>
      <c r="B121" s="186"/>
      <c r="C121" s="348"/>
      <c r="D121" s="349"/>
    </row>
    <row r="122" spans="1:4" ht="23.25">
      <c r="A122" s="437" t="s">
        <v>414</v>
      </c>
      <c r="B122" s="186"/>
      <c r="C122" s="348"/>
      <c r="D122" s="349">
        <v>80</v>
      </c>
    </row>
    <row r="123" spans="1:4" ht="23.25">
      <c r="A123" s="437" t="s">
        <v>420</v>
      </c>
      <c r="B123" s="186"/>
      <c r="C123" s="348"/>
      <c r="D123" s="349">
        <v>1500</v>
      </c>
    </row>
    <row r="124" spans="1:4" ht="23.25">
      <c r="A124" s="437" t="s">
        <v>39</v>
      </c>
      <c r="B124" s="186"/>
      <c r="C124" s="348"/>
      <c r="D124" s="349">
        <v>356331</v>
      </c>
    </row>
    <row r="125" spans="1:4" ht="23.25">
      <c r="A125" s="437" t="s">
        <v>385</v>
      </c>
      <c r="B125" s="186"/>
      <c r="C125" s="348"/>
      <c r="D125" s="349">
        <v>2668.3</v>
      </c>
    </row>
    <row r="126" spans="1:4" ht="23.25">
      <c r="A126" s="437" t="s">
        <v>386</v>
      </c>
      <c r="B126" s="186"/>
      <c r="C126" s="348"/>
      <c r="D126" s="349">
        <v>3201.96</v>
      </c>
    </row>
    <row r="127" spans="1:4" ht="23.25">
      <c r="A127" s="437" t="s">
        <v>388</v>
      </c>
      <c r="B127" s="186"/>
      <c r="C127" s="348"/>
      <c r="D127" s="349">
        <v>10022</v>
      </c>
    </row>
    <row r="128" spans="1:4" ht="23.25">
      <c r="A128" s="437" t="s">
        <v>364</v>
      </c>
      <c r="B128" s="186"/>
      <c r="C128" s="348"/>
      <c r="D128" s="349">
        <v>153</v>
      </c>
    </row>
    <row r="129" spans="1:4" ht="23.25">
      <c r="A129" s="437" t="s">
        <v>387</v>
      </c>
      <c r="B129" s="186"/>
      <c r="C129" s="348"/>
      <c r="D129" s="349">
        <v>31800</v>
      </c>
    </row>
    <row r="130" spans="1:4" ht="23.25">
      <c r="A130" s="437" t="s">
        <v>421</v>
      </c>
      <c r="B130" s="186"/>
      <c r="C130" s="348"/>
      <c r="D130" s="349">
        <v>8885</v>
      </c>
    </row>
    <row r="131" spans="1:4" ht="23.25">
      <c r="A131" s="183"/>
      <c r="B131" s="186"/>
      <c r="C131" s="476">
        <f>SUM(C113:C118)</f>
        <v>2837018.13</v>
      </c>
      <c r="D131" s="484">
        <f>SUM(D119:D130)</f>
        <v>2837018.13</v>
      </c>
    </row>
    <row r="132" spans="1:4" ht="23.25">
      <c r="A132" s="352" t="s">
        <v>423</v>
      </c>
      <c r="B132" s="353"/>
      <c r="C132" s="353"/>
      <c r="D132" s="354"/>
    </row>
    <row r="133" spans="1:4" ht="20.25">
      <c r="A133" s="477"/>
      <c r="B133" s="478"/>
      <c r="C133" s="478"/>
      <c r="D133" s="479"/>
    </row>
    <row r="134" spans="1:4" ht="23.25">
      <c r="A134" s="198" t="s">
        <v>424</v>
      </c>
      <c r="B134" s="47"/>
      <c r="C134" s="47"/>
      <c r="D134" s="424"/>
    </row>
    <row r="135" spans="1:4" ht="23.25">
      <c r="A135" s="198"/>
      <c r="B135" s="47"/>
      <c r="C135" s="47"/>
      <c r="D135" s="424"/>
    </row>
    <row r="136" spans="1:4" ht="23.25">
      <c r="A136" s="198"/>
      <c r="B136" s="47"/>
      <c r="C136" s="47"/>
      <c r="D136" s="424"/>
    </row>
    <row r="137" spans="1:4" ht="23.25">
      <c r="A137" s="198"/>
      <c r="B137" s="47"/>
      <c r="C137" s="47"/>
      <c r="D137" s="424"/>
    </row>
    <row r="138" spans="1:4" ht="23.25">
      <c r="A138" s="198"/>
      <c r="B138" s="47"/>
      <c r="C138" s="47"/>
      <c r="D138" s="424"/>
    </row>
    <row r="139" spans="1:4" ht="23.25">
      <c r="A139" s="198"/>
      <c r="B139" s="47"/>
      <c r="C139" s="47"/>
      <c r="D139" s="362"/>
    </row>
    <row r="140" spans="1:4" ht="23.25">
      <c r="A140" s="363"/>
      <c r="B140" s="364"/>
      <c r="C140" s="364"/>
      <c r="D140" s="365"/>
    </row>
  </sheetData>
  <sheetProtection/>
  <mergeCells count="12">
    <mergeCell ref="A74:D74"/>
    <mergeCell ref="A75:D75"/>
    <mergeCell ref="A76:D76"/>
    <mergeCell ref="A108:D108"/>
    <mergeCell ref="A109:D109"/>
    <mergeCell ref="A110:D110"/>
    <mergeCell ref="A1:D1"/>
    <mergeCell ref="A2:D2"/>
    <mergeCell ref="A3:D3"/>
    <mergeCell ref="A40:D40"/>
    <mergeCell ref="A41:D41"/>
    <mergeCell ref="A42:D42"/>
  </mergeCells>
  <printOptions/>
  <pageMargins left="0.71" right="0.2755905511811024" top="0.7480314960629921" bottom="0.7480314960629921" header="0.31496062992125984" footer="0.31496062992125984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F186"/>
  <sheetViews>
    <sheetView zoomScaleSheetLayoutView="100" zoomScalePageLayoutView="0" workbookViewId="0" topLeftCell="A1">
      <selection activeCell="D39" sqref="D39"/>
    </sheetView>
  </sheetViews>
  <sheetFormatPr defaultColWidth="9.140625" defaultRowHeight="21.75"/>
  <cols>
    <col min="1" max="1" width="75.28125" style="344" customWidth="1"/>
    <col min="2" max="2" width="11.421875" style="344" customWidth="1"/>
    <col min="3" max="3" width="16.7109375" style="344" customWidth="1"/>
    <col min="4" max="4" width="16.421875" style="344" customWidth="1"/>
    <col min="5" max="5" width="29.421875" style="344" bestFit="1" customWidth="1"/>
    <col min="6" max="7" width="20.421875" style="344" bestFit="1" customWidth="1"/>
    <col min="8" max="16384" width="9.140625" style="344" customWidth="1"/>
  </cols>
  <sheetData>
    <row r="1" spans="1:4" ht="23.25">
      <c r="A1" s="691" t="s">
        <v>657</v>
      </c>
      <c r="B1" s="691"/>
      <c r="C1" s="691"/>
      <c r="D1" s="691"/>
    </row>
    <row r="2" spans="1:4" ht="23.25">
      <c r="A2" s="691" t="s">
        <v>647</v>
      </c>
      <c r="B2" s="691"/>
      <c r="C2" s="691"/>
      <c r="D2" s="691"/>
    </row>
    <row r="3" spans="1:4" ht="23.25">
      <c r="A3" s="692" t="s">
        <v>311</v>
      </c>
      <c r="B3" s="692"/>
      <c r="C3" s="692"/>
      <c r="D3" s="692"/>
    </row>
    <row r="4" spans="1:4" ht="23.25">
      <c r="A4" s="343" t="s">
        <v>489</v>
      </c>
      <c r="B4" s="343"/>
      <c r="C4" s="343"/>
      <c r="D4" s="343"/>
    </row>
    <row r="5" spans="1:4" ht="23.25">
      <c r="A5" s="345" t="s">
        <v>36</v>
      </c>
      <c r="B5" s="346" t="s">
        <v>35</v>
      </c>
      <c r="C5" s="346" t="s">
        <v>313</v>
      </c>
      <c r="D5" s="346" t="s">
        <v>38</v>
      </c>
    </row>
    <row r="6" spans="1:5" ht="23.25">
      <c r="A6" s="183" t="s">
        <v>48</v>
      </c>
      <c r="B6" s="347" t="s">
        <v>323</v>
      </c>
      <c r="C6" s="348">
        <v>31025.32</v>
      </c>
      <c r="D6" s="349"/>
      <c r="E6" s="366"/>
    </row>
    <row r="7" spans="1:6" ht="23.25">
      <c r="A7" s="183" t="s">
        <v>42</v>
      </c>
      <c r="B7" s="347" t="s">
        <v>325</v>
      </c>
      <c r="C7" s="348">
        <v>588975</v>
      </c>
      <c r="D7" s="349"/>
      <c r="F7" s="473">
        <f>+C6+C7+C8+C9+C10+C11+C12+C13+C14+C15+C16+C17+C18+C19</f>
        <v>2212842.3200000003</v>
      </c>
    </row>
    <row r="8" spans="1:6" ht="23.25">
      <c r="A8" s="183" t="s">
        <v>330</v>
      </c>
      <c r="B8" s="347" t="s">
        <v>338</v>
      </c>
      <c r="C8" s="348">
        <v>127660</v>
      </c>
      <c r="D8" s="349"/>
      <c r="F8" s="473"/>
    </row>
    <row r="9" spans="1:4" ht="23.25">
      <c r="A9" s="183" t="s">
        <v>330</v>
      </c>
      <c r="B9" s="347" t="s">
        <v>434</v>
      </c>
      <c r="C9" s="348">
        <v>900</v>
      </c>
      <c r="D9" s="349"/>
    </row>
    <row r="10" spans="1:4" ht="23.25">
      <c r="A10" s="183" t="s">
        <v>43</v>
      </c>
      <c r="B10" s="186">
        <v>6200</v>
      </c>
      <c r="C10" s="348">
        <v>54086</v>
      </c>
      <c r="D10" s="349"/>
    </row>
    <row r="11" spans="1:4" ht="23.25">
      <c r="A11" s="183" t="s">
        <v>44</v>
      </c>
      <c r="B11" s="186">
        <v>5250</v>
      </c>
      <c r="C11" s="348">
        <v>133759.21</v>
      </c>
      <c r="D11" s="349"/>
    </row>
    <row r="12" spans="1:4" ht="23.25">
      <c r="A12" s="183" t="s">
        <v>44</v>
      </c>
      <c r="B12" s="186">
        <v>6250</v>
      </c>
      <c r="C12" s="348">
        <v>193593.71</v>
      </c>
      <c r="D12" s="349"/>
    </row>
    <row r="13" spans="1:4" ht="23.25">
      <c r="A13" s="183" t="s">
        <v>45</v>
      </c>
      <c r="B13" s="186">
        <v>5270</v>
      </c>
      <c r="C13" s="348">
        <v>117967.25</v>
      </c>
      <c r="D13" s="349"/>
    </row>
    <row r="14" spans="1:4" ht="23.25">
      <c r="A14" s="183" t="s">
        <v>45</v>
      </c>
      <c r="B14" s="186">
        <v>6270</v>
      </c>
      <c r="C14" s="348">
        <f>49867.84+3248.7</f>
        <v>53116.53999999999</v>
      </c>
      <c r="D14" s="349"/>
    </row>
    <row r="15" spans="1:4" ht="23.25">
      <c r="A15" s="183" t="s">
        <v>46</v>
      </c>
      <c r="B15" s="186">
        <v>5300</v>
      </c>
      <c r="C15" s="348">
        <v>35585.98</v>
      </c>
      <c r="D15" s="349"/>
    </row>
    <row r="16" spans="1:4" ht="23.25">
      <c r="A16" s="183" t="s">
        <v>46</v>
      </c>
      <c r="B16" s="186">
        <v>6300</v>
      </c>
      <c r="C16" s="348">
        <v>35702.31</v>
      </c>
      <c r="D16" s="349"/>
    </row>
    <row r="17" spans="1:4" ht="23.25">
      <c r="A17" s="183" t="s">
        <v>79</v>
      </c>
      <c r="B17" s="186">
        <v>5450</v>
      </c>
      <c r="C17" s="348">
        <v>37771</v>
      </c>
      <c r="D17" s="349"/>
    </row>
    <row r="18" spans="1:4" ht="23.25">
      <c r="A18" s="183" t="s">
        <v>79</v>
      </c>
      <c r="B18" s="186">
        <v>6450</v>
      </c>
      <c r="C18" s="348">
        <v>752700</v>
      </c>
      <c r="D18" s="349"/>
    </row>
    <row r="19" spans="1:4" ht="23.25">
      <c r="A19" s="183" t="s">
        <v>47</v>
      </c>
      <c r="B19" s="186">
        <v>6400</v>
      </c>
      <c r="C19" s="348">
        <v>50000</v>
      </c>
      <c r="D19" s="349"/>
    </row>
    <row r="20" spans="1:4" ht="23.25">
      <c r="A20" s="183" t="s">
        <v>314</v>
      </c>
      <c r="B20" s="347" t="s">
        <v>57</v>
      </c>
      <c r="C20" s="348">
        <v>37732</v>
      </c>
      <c r="D20" s="349"/>
    </row>
    <row r="21" spans="1:4" ht="23.25">
      <c r="A21" s="183" t="s">
        <v>335</v>
      </c>
      <c r="B21" s="347" t="s">
        <v>327</v>
      </c>
      <c r="C21" s="348">
        <v>731700</v>
      </c>
      <c r="D21" s="349"/>
    </row>
    <row r="22" spans="1:4" ht="23.25">
      <c r="A22" s="183" t="s">
        <v>577</v>
      </c>
      <c r="B22" s="347"/>
      <c r="C22" s="348">
        <v>14030</v>
      </c>
      <c r="D22" s="349"/>
    </row>
    <row r="23" spans="1:5" ht="23.25">
      <c r="A23" s="183" t="s">
        <v>523</v>
      </c>
      <c r="B23" s="347"/>
      <c r="C23" s="348">
        <v>9208.28</v>
      </c>
      <c r="D23" s="349"/>
      <c r="E23" s="473"/>
    </row>
    <row r="24" spans="1:5" ht="23.25">
      <c r="A24" s="200" t="s">
        <v>658</v>
      </c>
      <c r="B24" s="347"/>
      <c r="C24" s="348">
        <v>25980</v>
      </c>
      <c r="D24" s="349"/>
      <c r="E24" s="473"/>
    </row>
    <row r="25" spans="1:5" ht="23.25">
      <c r="A25" s="200" t="s">
        <v>655</v>
      </c>
      <c r="B25" s="347"/>
      <c r="C25" s="348">
        <v>1412000</v>
      </c>
      <c r="D25" s="349"/>
      <c r="E25" s="473"/>
    </row>
    <row r="26" spans="1:5" ht="23.25">
      <c r="A26" s="200" t="s">
        <v>659</v>
      </c>
      <c r="B26" s="347"/>
      <c r="C26" s="348">
        <v>72000</v>
      </c>
      <c r="D26" s="349"/>
      <c r="E26" s="473"/>
    </row>
    <row r="27" spans="1:5" ht="23.25">
      <c r="A27" s="200" t="s">
        <v>435</v>
      </c>
      <c r="B27" s="347"/>
      <c r="C27" s="348">
        <v>3484.5</v>
      </c>
      <c r="D27" s="349"/>
      <c r="E27" s="473"/>
    </row>
    <row r="28" spans="1:5" ht="23.25">
      <c r="A28" s="200" t="s">
        <v>660</v>
      </c>
      <c r="B28" s="347"/>
      <c r="C28" s="348">
        <v>521000</v>
      </c>
      <c r="D28" s="349"/>
      <c r="E28" s="473"/>
    </row>
    <row r="29" spans="1:5" ht="23.25">
      <c r="A29" s="200" t="s">
        <v>317</v>
      </c>
      <c r="B29" s="347"/>
      <c r="C29" s="348">
        <v>7550</v>
      </c>
      <c r="D29" s="349"/>
      <c r="E29" s="462"/>
    </row>
    <row r="30" spans="1:4" ht="23.25">
      <c r="A30" s="183" t="s">
        <v>315</v>
      </c>
      <c r="B30" s="186"/>
      <c r="C30" s="348">
        <v>92600</v>
      </c>
      <c r="D30" s="349"/>
    </row>
    <row r="31" spans="1:4" ht="23.25">
      <c r="A31" s="183" t="s">
        <v>1</v>
      </c>
      <c r="B31" s="186"/>
      <c r="C31" s="348">
        <v>61878</v>
      </c>
      <c r="D31" s="349"/>
    </row>
    <row r="32" spans="1:4" ht="23.25">
      <c r="A32" s="183" t="s">
        <v>319</v>
      </c>
      <c r="B32" s="186"/>
      <c r="C32" s="348">
        <v>46300</v>
      </c>
      <c r="D32" s="349"/>
    </row>
    <row r="33" spans="1:4" ht="23.25">
      <c r="A33" s="183" t="s">
        <v>316</v>
      </c>
      <c r="B33" s="186"/>
      <c r="C33" s="348">
        <v>29900</v>
      </c>
      <c r="D33" s="349"/>
    </row>
    <row r="34" spans="1:4" ht="23.25">
      <c r="A34" s="183" t="s">
        <v>331</v>
      </c>
      <c r="B34" s="186"/>
      <c r="C34" s="349">
        <f>8256.16</f>
        <v>8256.16</v>
      </c>
      <c r="D34" s="349"/>
    </row>
    <row r="35" spans="1:4" ht="23.25">
      <c r="A35" s="350" t="s">
        <v>339</v>
      </c>
      <c r="B35" s="347"/>
      <c r="C35" s="349"/>
      <c r="D35" s="409">
        <f>5012073.75+3216.21</f>
        <v>5015289.96</v>
      </c>
    </row>
    <row r="36" spans="1:4" ht="23.25">
      <c r="A36" s="350" t="s">
        <v>661</v>
      </c>
      <c r="B36" s="347"/>
      <c r="C36" s="349"/>
      <c r="D36" s="409">
        <v>200</v>
      </c>
    </row>
    <row r="37" spans="1:4" ht="23.25">
      <c r="A37" s="350" t="s">
        <v>331</v>
      </c>
      <c r="B37" s="186"/>
      <c r="C37" s="349"/>
      <c r="D37" s="409">
        <f>32710.81+32.49-242.8</f>
        <v>32500.500000000004</v>
      </c>
    </row>
    <row r="38" spans="1:4" ht="23.25">
      <c r="A38" s="350" t="s">
        <v>735</v>
      </c>
      <c r="B38" s="186"/>
      <c r="C38" s="349"/>
      <c r="D38" s="409">
        <v>242.8</v>
      </c>
    </row>
    <row r="39" spans="1:4" ht="22.5" customHeight="1">
      <c r="A39" s="350" t="s">
        <v>317</v>
      </c>
      <c r="B39" s="186"/>
      <c r="C39" s="349"/>
      <c r="D39" s="409">
        <v>7550</v>
      </c>
    </row>
    <row r="40" spans="1:4" ht="23.25">
      <c r="A40" s="350" t="s">
        <v>1</v>
      </c>
      <c r="B40" s="186"/>
      <c r="C40" s="351">
        <f>SUM(C6:C39)</f>
        <v>5286461.26</v>
      </c>
      <c r="D40" s="409">
        <v>61878</v>
      </c>
    </row>
    <row r="41" spans="1:4" ht="23.25">
      <c r="A41" s="350" t="s">
        <v>319</v>
      </c>
      <c r="B41" s="186"/>
      <c r="C41" s="351"/>
      <c r="D41" s="409">
        <v>46300</v>
      </c>
    </row>
    <row r="42" spans="1:5" ht="23.25">
      <c r="A42" s="350" t="s">
        <v>316</v>
      </c>
      <c r="B42" s="186"/>
      <c r="C42" s="351"/>
      <c r="D42" s="409">
        <v>29900</v>
      </c>
      <c r="E42" s="473"/>
    </row>
    <row r="43" spans="1:4" ht="23.25">
      <c r="A43" s="350" t="s">
        <v>315</v>
      </c>
      <c r="B43" s="186"/>
      <c r="C43" s="349"/>
      <c r="D43" s="409">
        <v>92600</v>
      </c>
    </row>
    <row r="44" spans="1:5" ht="23.25">
      <c r="A44" s="183"/>
      <c r="B44" s="186"/>
      <c r="C44" s="349">
        <f>SUM(C6:C35)</f>
        <v>5286461.26</v>
      </c>
      <c r="D44" s="474">
        <f>SUM(D35:D43)</f>
        <v>5286461.26</v>
      </c>
      <c r="E44" s="561">
        <f>+C44-D44</f>
        <v>0</v>
      </c>
    </row>
    <row r="45" spans="1:5" ht="23.25">
      <c r="A45" s="352" t="s">
        <v>662</v>
      </c>
      <c r="B45" s="353"/>
      <c r="C45" s="353"/>
      <c r="D45" s="354"/>
      <c r="E45" s="473"/>
    </row>
    <row r="46" spans="1:4" ht="14.25" customHeight="1">
      <c r="A46" s="357"/>
      <c r="C46" s="358"/>
      <c r="D46" s="359"/>
    </row>
    <row r="47" spans="1:4" ht="23.25">
      <c r="A47" s="360" t="s">
        <v>318</v>
      </c>
      <c r="B47" s="353"/>
      <c r="C47" s="353"/>
      <c r="D47" s="361"/>
    </row>
    <row r="48" spans="1:4" ht="23.25">
      <c r="A48" s="363"/>
      <c r="B48" s="364"/>
      <c r="C48" s="364"/>
      <c r="D48" s="365"/>
    </row>
    <row r="52" spans="1:4" ht="23.25">
      <c r="A52" s="691" t="s">
        <v>428</v>
      </c>
      <c r="B52" s="691"/>
      <c r="C52" s="691"/>
      <c r="D52" s="691"/>
    </row>
    <row r="53" spans="1:4" ht="23.25">
      <c r="A53" s="691" t="s">
        <v>427</v>
      </c>
      <c r="B53" s="691"/>
      <c r="C53" s="691"/>
      <c r="D53" s="691"/>
    </row>
    <row r="54" spans="1:4" ht="23.25">
      <c r="A54" s="692" t="s">
        <v>311</v>
      </c>
      <c r="B54" s="692"/>
      <c r="C54" s="692"/>
      <c r="D54" s="692"/>
    </row>
    <row r="55" spans="1:4" ht="23.25">
      <c r="A55" s="343" t="s">
        <v>312</v>
      </c>
      <c r="B55" s="343"/>
      <c r="C55" s="343"/>
      <c r="D55" s="343"/>
    </row>
    <row r="56" spans="1:4" ht="23.25">
      <c r="A56" s="345" t="s">
        <v>36</v>
      </c>
      <c r="B56" s="346" t="s">
        <v>35</v>
      </c>
      <c r="C56" s="346" t="s">
        <v>313</v>
      </c>
      <c r="D56" s="346" t="s">
        <v>38</v>
      </c>
    </row>
    <row r="57" spans="1:4" ht="23.25">
      <c r="A57" s="183" t="s">
        <v>48</v>
      </c>
      <c r="B57" s="347" t="s">
        <v>323</v>
      </c>
      <c r="C57" s="348">
        <v>41291.92</v>
      </c>
      <c r="D57" s="349"/>
    </row>
    <row r="58" spans="1:4" ht="23.25">
      <c r="A58" s="183" t="s">
        <v>48</v>
      </c>
      <c r="B58" s="347"/>
      <c r="C58" s="348">
        <v>110000</v>
      </c>
      <c r="D58" s="349"/>
    </row>
    <row r="59" spans="1:4" ht="23.25">
      <c r="A59" s="183" t="s">
        <v>42</v>
      </c>
      <c r="B59" s="347" t="s">
        <v>325</v>
      </c>
      <c r="C59" s="348">
        <v>623698.58</v>
      </c>
      <c r="D59" s="349"/>
    </row>
    <row r="60" spans="1:4" ht="23.25">
      <c r="A60" s="183" t="s">
        <v>330</v>
      </c>
      <c r="B60" s="347" t="s">
        <v>338</v>
      </c>
      <c r="C60" s="348">
        <v>108470</v>
      </c>
      <c r="D60" s="349"/>
    </row>
    <row r="61" spans="1:4" ht="23.25">
      <c r="A61" s="183" t="s">
        <v>330</v>
      </c>
      <c r="B61" s="347" t="s">
        <v>434</v>
      </c>
      <c r="C61" s="348">
        <v>3768.39</v>
      </c>
      <c r="D61" s="349"/>
    </row>
    <row r="62" spans="1:4" ht="23.25">
      <c r="A62" s="183" t="s">
        <v>43</v>
      </c>
      <c r="B62" s="186">
        <v>6200</v>
      </c>
      <c r="C62" s="348">
        <v>26284</v>
      </c>
      <c r="D62" s="349"/>
    </row>
    <row r="63" spans="1:4" ht="23.25">
      <c r="A63" s="183" t="s">
        <v>44</v>
      </c>
      <c r="B63" s="186">
        <v>5250</v>
      </c>
      <c r="C63" s="348">
        <v>170718.25</v>
      </c>
      <c r="D63" s="349"/>
    </row>
    <row r="64" spans="1:4" ht="23.25">
      <c r="A64" s="183" t="s">
        <v>44</v>
      </c>
      <c r="B64" s="186"/>
      <c r="C64" s="348">
        <v>3600</v>
      </c>
      <c r="D64" s="349"/>
    </row>
    <row r="65" spans="1:4" ht="23.25">
      <c r="A65" s="183" t="s">
        <v>45</v>
      </c>
      <c r="B65" s="186">
        <v>5270</v>
      </c>
      <c r="C65" s="348">
        <v>18750.88</v>
      </c>
      <c r="D65" s="349"/>
    </row>
    <row r="66" spans="1:4" ht="23.25">
      <c r="A66" s="183" t="s">
        <v>46</v>
      </c>
      <c r="B66" s="186">
        <v>5300</v>
      </c>
      <c r="C66" s="348">
        <v>24712.1</v>
      </c>
      <c r="D66" s="349"/>
    </row>
    <row r="67" spans="1:4" ht="23.25">
      <c r="A67" s="183" t="s">
        <v>47</v>
      </c>
      <c r="B67" s="186">
        <v>6450</v>
      </c>
      <c r="C67" s="348">
        <v>418955</v>
      </c>
      <c r="D67" s="349"/>
    </row>
    <row r="68" spans="1:4" ht="23.25">
      <c r="A68" s="183" t="s">
        <v>314</v>
      </c>
      <c r="B68" s="347" t="s">
        <v>57</v>
      </c>
      <c r="C68" s="348">
        <v>113720</v>
      </c>
      <c r="D68" s="349"/>
    </row>
    <row r="69" spans="1:4" ht="23.25">
      <c r="A69" s="183" t="s">
        <v>335</v>
      </c>
      <c r="B69" s="347" t="s">
        <v>327</v>
      </c>
      <c r="C69" s="348">
        <v>647500</v>
      </c>
      <c r="D69" s="349"/>
    </row>
    <row r="70" spans="1:4" ht="23.25">
      <c r="A70" s="183" t="s">
        <v>55</v>
      </c>
      <c r="B70" s="347"/>
      <c r="C70" s="348">
        <v>159500</v>
      </c>
      <c r="D70" s="349"/>
    </row>
    <row r="71" spans="1:4" ht="23.25">
      <c r="A71" s="183" t="s">
        <v>371</v>
      </c>
      <c r="B71" s="347"/>
      <c r="C71" s="348">
        <v>242.8</v>
      </c>
      <c r="D71" s="349"/>
    </row>
    <row r="72" spans="1:4" ht="23.25">
      <c r="A72" s="183" t="s">
        <v>426</v>
      </c>
      <c r="B72" s="347"/>
      <c r="C72" s="348">
        <v>47707.61</v>
      </c>
      <c r="D72" s="349"/>
    </row>
    <row r="73" spans="1:4" ht="23.25">
      <c r="A73" s="183" t="s">
        <v>331</v>
      </c>
      <c r="B73" s="347"/>
      <c r="C73" s="348">
        <v>3927.94</v>
      </c>
      <c r="D73" s="349"/>
    </row>
    <row r="74" spans="1:4" ht="23.25">
      <c r="A74" s="183" t="s">
        <v>435</v>
      </c>
      <c r="B74" s="347"/>
      <c r="C74" s="348">
        <v>6067.5</v>
      </c>
      <c r="D74" s="349"/>
    </row>
    <row r="75" spans="1:4" ht="23.25">
      <c r="A75" s="183" t="s">
        <v>436</v>
      </c>
      <c r="B75" s="347"/>
      <c r="C75" s="348">
        <v>13580</v>
      </c>
      <c r="D75" s="349"/>
    </row>
    <row r="76" spans="1:4" ht="23.25">
      <c r="A76" s="183" t="s">
        <v>437</v>
      </c>
      <c r="B76" s="347"/>
      <c r="C76" s="348">
        <v>3350</v>
      </c>
      <c r="D76" s="349"/>
    </row>
    <row r="77" spans="1:4" ht="23.25">
      <c r="A77" s="183" t="s">
        <v>438</v>
      </c>
      <c r="B77" s="347"/>
      <c r="C77" s="348">
        <v>9208.28</v>
      </c>
      <c r="D77" s="349"/>
    </row>
    <row r="78" spans="1:4" ht="23.25">
      <c r="A78" s="200" t="s">
        <v>317</v>
      </c>
      <c r="B78" s="347"/>
      <c r="C78" s="348">
        <v>6200</v>
      </c>
      <c r="D78" s="349"/>
    </row>
    <row r="79" spans="1:4" ht="23.25">
      <c r="A79" s="183" t="s">
        <v>315</v>
      </c>
      <c r="B79" s="186"/>
      <c r="C79" s="348">
        <v>87600</v>
      </c>
      <c r="D79" s="349"/>
    </row>
    <row r="80" spans="1:4" ht="23.25">
      <c r="A80" s="183" t="s">
        <v>1</v>
      </c>
      <c r="B80" s="186"/>
      <c r="C80" s="348">
        <v>68700</v>
      </c>
      <c r="D80" s="349"/>
    </row>
    <row r="81" spans="1:4" ht="23.25">
      <c r="A81" s="183" t="s">
        <v>319</v>
      </c>
      <c r="B81" s="186"/>
      <c r="C81" s="348">
        <v>14800</v>
      </c>
      <c r="D81" s="349"/>
    </row>
    <row r="82" spans="1:4" ht="23.25">
      <c r="A82" s="183" t="s">
        <v>316</v>
      </c>
      <c r="B82" s="186"/>
      <c r="C82" s="348">
        <v>23800</v>
      </c>
      <c r="D82" s="349"/>
    </row>
    <row r="83" spans="1:4" ht="23.25">
      <c r="A83" s="350" t="s">
        <v>339</v>
      </c>
      <c r="B83" s="347"/>
      <c r="C83" s="349"/>
      <c r="D83" s="409">
        <v>2550585.73</v>
      </c>
    </row>
    <row r="84" spans="1:4" ht="23.25">
      <c r="A84" s="350" t="s">
        <v>331</v>
      </c>
      <c r="B84" s="186"/>
      <c r="C84" s="349"/>
      <c r="D84" s="409">
        <v>4467.52</v>
      </c>
    </row>
    <row r="85" spans="1:4" ht="23.25">
      <c r="A85" s="350" t="s">
        <v>317</v>
      </c>
      <c r="B85" s="186"/>
      <c r="C85" s="349"/>
      <c r="D85" s="409">
        <v>6200</v>
      </c>
    </row>
    <row r="86" spans="1:4" ht="23.25">
      <c r="A86" s="350" t="s">
        <v>1</v>
      </c>
      <c r="B86" s="186"/>
      <c r="C86" s="351">
        <f>SUM(C57:C85)</f>
        <v>2756153.2499999995</v>
      </c>
      <c r="D86" s="409">
        <v>68700</v>
      </c>
    </row>
    <row r="87" spans="1:4" ht="23.25">
      <c r="A87" s="350" t="s">
        <v>319</v>
      </c>
      <c r="B87" s="186"/>
      <c r="C87" s="351"/>
      <c r="D87" s="409">
        <v>14800</v>
      </c>
    </row>
    <row r="88" spans="1:4" ht="23.25">
      <c r="A88" s="350" t="s">
        <v>316</v>
      </c>
      <c r="B88" s="186"/>
      <c r="C88" s="351"/>
      <c r="D88" s="409">
        <v>23800</v>
      </c>
    </row>
    <row r="89" spans="1:4" ht="23.25">
      <c r="A89" s="350" t="s">
        <v>315</v>
      </c>
      <c r="B89" s="186"/>
      <c r="C89" s="349"/>
      <c r="D89" s="409">
        <v>87600</v>
      </c>
    </row>
    <row r="90" spans="1:5" ht="23.25">
      <c r="A90" s="183"/>
      <c r="B90" s="186"/>
      <c r="C90" s="476">
        <f>SUM(C57:C83)</f>
        <v>2756153.2499999995</v>
      </c>
      <c r="D90" s="484">
        <f>SUM(D83:D89)</f>
        <v>2756153.25</v>
      </c>
      <c r="E90" s="473"/>
    </row>
    <row r="91" spans="1:4" ht="23.25">
      <c r="A91" s="352" t="s">
        <v>439</v>
      </c>
      <c r="B91" s="353"/>
      <c r="C91" s="353"/>
      <c r="D91" s="354"/>
    </row>
    <row r="92" spans="1:4" ht="23.25">
      <c r="A92" s="355"/>
      <c r="B92" s="47"/>
      <c r="C92" s="423"/>
      <c r="D92" s="356"/>
    </row>
    <row r="93" spans="1:4" ht="20.25">
      <c r="A93" s="357"/>
      <c r="C93" s="358"/>
      <c r="D93" s="359"/>
    </row>
    <row r="94" spans="1:4" ht="23.25">
      <c r="A94" s="360" t="s">
        <v>318</v>
      </c>
      <c r="B94" s="353"/>
      <c r="C94" s="353"/>
      <c r="D94" s="361"/>
    </row>
    <row r="95" spans="1:4" ht="23.25">
      <c r="A95" s="198"/>
      <c r="B95" s="47"/>
      <c r="C95" s="47"/>
      <c r="D95" s="424"/>
    </row>
    <row r="96" spans="1:4" ht="23.25">
      <c r="A96" s="198"/>
      <c r="B96" s="47"/>
      <c r="C96" s="47"/>
      <c r="D96" s="424"/>
    </row>
    <row r="97" spans="1:4" ht="23.25">
      <c r="A97" s="691" t="s">
        <v>466</v>
      </c>
      <c r="B97" s="691"/>
      <c r="C97" s="691"/>
      <c r="D97" s="691"/>
    </row>
    <row r="98" spans="1:4" ht="23.25">
      <c r="A98" s="691" t="s">
        <v>467</v>
      </c>
      <c r="B98" s="691"/>
      <c r="C98" s="691"/>
      <c r="D98" s="691"/>
    </row>
    <row r="99" spans="1:4" ht="23.25">
      <c r="A99" s="692" t="s">
        <v>311</v>
      </c>
      <c r="B99" s="692"/>
      <c r="C99" s="692"/>
      <c r="D99" s="692"/>
    </row>
    <row r="100" spans="1:4" ht="23.25">
      <c r="A100" s="343" t="s">
        <v>312</v>
      </c>
      <c r="B100" s="343"/>
      <c r="C100" s="343"/>
      <c r="D100" s="343"/>
    </row>
    <row r="101" spans="1:4" ht="23.25">
      <c r="A101" s="345" t="s">
        <v>36</v>
      </c>
      <c r="B101" s="346" t="s">
        <v>35</v>
      </c>
      <c r="C101" s="346" t="s">
        <v>313</v>
      </c>
      <c r="D101" s="346" t="s">
        <v>38</v>
      </c>
    </row>
    <row r="102" spans="1:4" ht="23.25">
      <c r="A102" s="183" t="s">
        <v>48</v>
      </c>
      <c r="B102" s="347" t="s">
        <v>323</v>
      </c>
      <c r="C102" s="348">
        <v>31292.32</v>
      </c>
      <c r="D102" s="349"/>
    </row>
    <row r="103" spans="1:4" ht="23.25">
      <c r="A103" s="183" t="s">
        <v>42</v>
      </c>
      <c r="B103" s="347" t="s">
        <v>325</v>
      </c>
      <c r="C103" s="348">
        <v>580535</v>
      </c>
      <c r="D103" s="349"/>
    </row>
    <row r="104" spans="1:4" ht="23.25">
      <c r="A104" s="183" t="s">
        <v>330</v>
      </c>
      <c r="B104" s="347" t="s">
        <v>338</v>
      </c>
      <c r="C104" s="348">
        <v>108470</v>
      </c>
      <c r="D104" s="349"/>
    </row>
    <row r="105" spans="1:4" ht="23.25">
      <c r="A105" s="183" t="s">
        <v>330</v>
      </c>
      <c r="B105" s="347" t="s">
        <v>434</v>
      </c>
      <c r="C105" s="348">
        <v>2910</v>
      </c>
      <c r="D105" s="349"/>
    </row>
    <row r="106" spans="1:4" ht="23.25">
      <c r="A106" s="183" t="s">
        <v>43</v>
      </c>
      <c r="B106" s="186">
        <v>6200</v>
      </c>
      <c r="C106" s="348">
        <v>53180</v>
      </c>
      <c r="D106" s="349"/>
    </row>
    <row r="107" spans="1:4" ht="23.25">
      <c r="A107" s="183" t="s">
        <v>44</v>
      </c>
      <c r="B107" s="186">
        <v>5250</v>
      </c>
      <c r="C107" s="348">
        <v>282502.5</v>
      </c>
      <c r="D107" s="349"/>
    </row>
    <row r="108" spans="1:4" ht="23.25">
      <c r="A108" s="183" t="s">
        <v>44</v>
      </c>
      <c r="B108" s="186"/>
      <c r="C108" s="348">
        <v>58929.74</v>
      </c>
      <c r="D108" s="349"/>
    </row>
    <row r="109" spans="1:4" ht="23.25">
      <c r="A109" s="183" t="s">
        <v>45</v>
      </c>
      <c r="B109" s="186">
        <v>5270</v>
      </c>
      <c r="C109" s="348">
        <v>102403.42</v>
      </c>
      <c r="D109" s="349"/>
    </row>
    <row r="110" spans="1:4" ht="23.25">
      <c r="A110" s="183" t="s">
        <v>45</v>
      </c>
      <c r="B110" s="186"/>
      <c r="C110" s="348">
        <v>60540.48</v>
      </c>
      <c r="D110" s="349"/>
    </row>
    <row r="111" spans="1:4" ht="23.25">
      <c r="A111" s="183" t="s">
        <v>46</v>
      </c>
      <c r="B111" s="186">
        <v>5300</v>
      </c>
      <c r="C111" s="348">
        <v>21986.25</v>
      </c>
      <c r="D111" s="349"/>
    </row>
    <row r="112" spans="1:4" ht="23.25">
      <c r="A112" s="183" t="s">
        <v>47</v>
      </c>
      <c r="B112" s="186">
        <v>6450</v>
      </c>
      <c r="C112" s="348">
        <v>108000</v>
      </c>
      <c r="D112" s="349"/>
    </row>
    <row r="113" spans="1:4" ht="23.25">
      <c r="A113" s="183" t="s">
        <v>79</v>
      </c>
      <c r="B113" s="186"/>
      <c r="C113" s="348">
        <v>59000</v>
      </c>
      <c r="D113" s="349"/>
    </row>
    <row r="114" spans="1:4" ht="23.25">
      <c r="A114" s="183" t="s">
        <v>80</v>
      </c>
      <c r="B114" s="186"/>
      <c r="C114" s="348">
        <v>5100</v>
      </c>
      <c r="D114" s="349"/>
    </row>
    <row r="115" spans="1:4" ht="23.25">
      <c r="A115" s="183" t="s">
        <v>80</v>
      </c>
      <c r="B115" s="186"/>
      <c r="C115" s="348">
        <v>279000</v>
      </c>
      <c r="D115" s="349"/>
    </row>
    <row r="116" spans="1:4" ht="23.25">
      <c r="A116" s="183" t="s">
        <v>314</v>
      </c>
      <c r="B116" s="347" t="s">
        <v>57</v>
      </c>
      <c r="C116" s="348">
        <v>33518</v>
      </c>
      <c r="D116" s="349"/>
    </row>
    <row r="117" spans="1:4" ht="23.25">
      <c r="A117" s="183" t="s">
        <v>335</v>
      </c>
      <c r="B117" s="347" t="s">
        <v>327</v>
      </c>
      <c r="C117" s="348">
        <v>1184420</v>
      </c>
      <c r="D117" s="349"/>
    </row>
    <row r="118" spans="1:4" ht="23.25">
      <c r="A118" s="183" t="s">
        <v>55</v>
      </c>
      <c r="B118" s="347"/>
      <c r="C118" s="348">
        <v>1337279.96</v>
      </c>
      <c r="D118" s="349"/>
    </row>
    <row r="119" spans="1:4" ht="23.25">
      <c r="A119" s="183" t="s">
        <v>468</v>
      </c>
      <c r="B119" s="347"/>
      <c r="C119" s="348">
        <v>4340</v>
      </c>
      <c r="D119" s="349"/>
    </row>
    <row r="120" spans="1:4" ht="23.25">
      <c r="A120" s="183" t="s">
        <v>371</v>
      </c>
      <c r="B120" s="347"/>
      <c r="C120" s="348">
        <v>239.44</v>
      </c>
      <c r="D120" s="349"/>
    </row>
    <row r="121" spans="1:4" ht="23.25">
      <c r="A121" s="183" t="s">
        <v>426</v>
      </c>
      <c r="B121" s="347"/>
      <c r="C121" s="348">
        <v>2263</v>
      </c>
      <c r="D121" s="349"/>
    </row>
    <row r="122" spans="1:4" ht="23.25">
      <c r="A122" s="183" t="s">
        <v>331</v>
      </c>
      <c r="B122" s="347"/>
      <c r="C122" s="348">
        <v>6191.57</v>
      </c>
      <c r="D122" s="349"/>
    </row>
    <row r="123" spans="1:4" ht="23.25">
      <c r="A123" s="183" t="s">
        <v>435</v>
      </c>
      <c r="B123" s="347"/>
      <c r="C123" s="348">
        <v>3880</v>
      </c>
      <c r="D123" s="349"/>
    </row>
    <row r="124" spans="1:4" ht="23.25">
      <c r="A124" s="183" t="s">
        <v>436</v>
      </c>
      <c r="B124" s="347"/>
      <c r="C124" s="348">
        <v>13070</v>
      </c>
      <c r="D124" s="349"/>
    </row>
    <row r="125" spans="1:4" ht="23.25">
      <c r="A125" s="183" t="s">
        <v>438</v>
      </c>
      <c r="B125" s="347"/>
      <c r="C125" s="348">
        <v>9208.28</v>
      </c>
      <c r="D125" s="349"/>
    </row>
    <row r="126" spans="1:4" ht="23.25">
      <c r="A126" s="200" t="s">
        <v>317</v>
      </c>
      <c r="B126" s="347"/>
      <c r="C126" s="348">
        <v>6200</v>
      </c>
      <c r="D126" s="349"/>
    </row>
    <row r="127" spans="1:4" ht="23.25">
      <c r="A127" s="183" t="s">
        <v>315</v>
      </c>
      <c r="B127" s="186"/>
      <c r="C127" s="348">
        <v>84100</v>
      </c>
      <c r="D127" s="349"/>
    </row>
    <row r="128" spans="1:4" ht="23.25">
      <c r="A128" s="183" t="s">
        <v>1</v>
      </c>
      <c r="B128" s="186"/>
      <c r="C128" s="348">
        <v>68700</v>
      </c>
      <c r="D128" s="349"/>
    </row>
    <row r="129" spans="1:4" ht="23.25">
      <c r="A129" s="183" t="s">
        <v>319</v>
      </c>
      <c r="B129" s="186"/>
      <c r="C129" s="348">
        <v>39900</v>
      </c>
      <c r="D129" s="349"/>
    </row>
    <row r="130" spans="1:4" ht="23.25">
      <c r="A130" s="183" t="s">
        <v>316</v>
      </c>
      <c r="B130" s="186"/>
      <c r="C130" s="348">
        <v>23800</v>
      </c>
      <c r="D130" s="349"/>
    </row>
    <row r="131" spans="1:4" ht="23.25">
      <c r="A131" s="350" t="s">
        <v>339</v>
      </c>
      <c r="B131" s="347"/>
      <c r="C131" s="349"/>
      <c r="D131" s="409">
        <v>4338970.91</v>
      </c>
    </row>
    <row r="132" spans="1:4" ht="23.25">
      <c r="A132" s="350" t="s">
        <v>331</v>
      </c>
      <c r="B132" s="186"/>
      <c r="C132" s="349"/>
      <c r="D132" s="409">
        <v>9289.05</v>
      </c>
    </row>
    <row r="133" spans="1:4" ht="23.25">
      <c r="A133" s="350" t="s">
        <v>317</v>
      </c>
      <c r="B133" s="186"/>
      <c r="C133" s="349"/>
      <c r="D133" s="409">
        <v>6200</v>
      </c>
    </row>
    <row r="134" spans="1:4" ht="23.25">
      <c r="A134" s="350" t="s">
        <v>1</v>
      </c>
      <c r="B134" s="186"/>
      <c r="C134" s="351">
        <f>SUM(C102:C133)</f>
        <v>4570959.960000001</v>
      </c>
      <c r="D134" s="409">
        <v>68700</v>
      </c>
    </row>
    <row r="135" spans="1:4" ht="23.25">
      <c r="A135" s="350" t="s">
        <v>319</v>
      </c>
      <c r="B135" s="186"/>
      <c r="C135" s="351"/>
      <c r="D135" s="409">
        <v>39900</v>
      </c>
    </row>
    <row r="136" spans="1:4" ht="23.25">
      <c r="A136" s="350" t="s">
        <v>316</v>
      </c>
      <c r="B136" s="186"/>
      <c r="C136" s="351"/>
      <c r="D136" s="409">
        <v>23800</v>
      </c>
    </row>
    <row r="137" spans="1:4" ht="23.25">
      <c r="A137" s="350" t="s">
        <v>315</v>
      </c>
      <c r="B137" s="186"/>
      <c r="C137" s="349"/>
      <c r="D137" s="409">
        <v>84100</v>
      </c>
    </row>
    <row r="138" spans="1:4" ht="23.25">
      <c r="A138" s="183"/>
      <c r="B138" s="186"/>
      <c r="C138" s="476">
        <f>SUM(C102:C131)</f>
        <v>4570959.960000001</v>
      </c>
      <c r="D138" s="484">
        <f>SUM(D131:D137)</f>
        <v>4570959.96</v>
      </c>
    </row>
    <row r="139" spans="1:4" ht="23.25">
      <c r="A139" s="352" t="s">
        <v>472</v>
      </c>
      <c r="B139" s="497"/>
      <c r="C139" s="497"/>
      <c r="D139" s="498"/>
    </row>
    <row r="140" spans="1:5" ht="23.25">
      <c r="A140" s="360" t="s">
        <v>318</v>
      </c>
      <c r="B140" s="47"/>
      <c r="C140" s="423"/>
      <c r="D140" s="356"/>
      <c r="E140" s="473">
        <f>4570959.96-C138</f>
        <v>0</v>
      </c>
    </row>
    <row r="141" spans="1:4" ht="20.25">
      <c r="A141" s="477"/>
      <c r="B141" s="478"/>
      <c r="C141" s="478"/>
      <c r="D141" s="479"/>
    </row>
    <row r="142" spans="1:4" ht="23.25">
      <c r="A142" s="363"/>
      <c r="B142" s="364"/>
      <c r="C142" s="364"/>
      <c r="D142" s="365"/>
    </row>
    <row r="143" spans="1:4" ht="23.25">
      <c r="A143" s="691" t="s">
        <v>473</v>
      </c>
      <c r="B143" s="691"/>
      <c r="C143" s="691"/>
      <c r="D143" s="691"/>
    </row>
    <row r="144" spans="1:4" ht="23.25">
      <c r="A144" s="691" t="s">
        <v>474</v>
      </c>
      <c r="B144" s="691"/>
      <c r="C144" s="691"/>
      <c r="D144" s="691"/>
    </row>
    <row r="145" spans="1:4" ht="23.25">
      <c r="A145" s="692" t="s">
        <v>311</v>
      </c>
      <c r="B145" s="692"/>
      <c r="C145" s="692"/>
      <c r="D145" s="692"/>
    </row>
    <row r="146" spans="1:4" ht="23.25">
      <c r="A146" s="343" t="s">
        <v>312</v>
      </c>
      <c r="B146" s="343"/>
      <c r="C146" s="343"/>
      <c r="D146" s="343"/>
    </row>
    <row r="147" spans="1:4" ht="23.25">
      <c r="A147" s="345" t="s">
        <v>36</v>
      </c>
      <c r="B147" s="346" t="s">
        <v>35</v>
      </c>
      <c r="C147" s="346" t="s">
        <v>313</v>
      </c>
      <c r="D147" s="346" t="s">
        <v>38</v>
      </c>
    </row>
    <row r="148" spans="1:4" ht="23.25">
      <c r="A148" s="183" t="s">
        <v>48</v>
      </c>
      <c r="B148" s="347" t="s">
        <v>323</v>
      </c>
      <c r="C148" s="348">
        <v>16540.32</v>
      </c>
      <c r="D148" s="349"/>
    </row>
    <row r="149" spans="1:4" ht="23.25">
      <c r="A149" s="183" t="s">
        <v>42</v>
      </c>
      <c r="B149" s="347" t="s">
        <v>325</v>
      </c>
      <c r="C149" s="348">
        <v>584628</v>
      </c>
      <c r="D149" s="349"/>
    </row>
    <row r="150" spans="1:4" ht="23.25">
      <c r="A150" s="183" t="s">
        <v>330</v>
      </c>
      <c r="B150" s="347" t="s">
        <v>338</v>
      </c>
      <c r="C150" s="348">
        <v>99640</v>
      </c>
      <c r="D150" s="349"/>
    </row>
    <row r="151" spans="1:4" ht="23.25">
      <c r="A151" s="183" t="s">
        <v>330</v>
      </c>
      <c r="B151" s="347" t="s">
        <v>434</v>
      </c>
      <c r="C151" s="348">
        <v>2910</v>
      </c>
      <c r="D151" s="349"/>
    </row>
    <row r="152" spans="1:4" ht="23.25">
      <c r="A152" s="183" t="s">
        <v>43</v>
      </c>
      <c r="B152" s="186">
        <v>6200</v>
      </c>
      <c r="C152" s="348">
        <v>12173</v>
      </c>
      <c r="D152" s="349"/>
    </row>
    <row r="153" spans="1:4" ht="23.25">
      <c r="A153" s="183" t="s">
        <v>44</v>
      </c>
      <c r="B153" s="186">
        <v>5250</v>
      </c>
      <c r="C153" s="348">
        <v>122469.75</v>
      </c>
      <c r="D153" s="349"/>
    </row>
    <row r="154" spans="1:4" ht="23.25">
      <c r="A154" s="183" t="s">
        <v>44</v>
      </c>
      <c r="B154" s="186"/>
      <c r="C154" s="348">
        <v>39700</v>
      </c>
      <c r="D154" s="349"/>
    </row>
    <row r="155" spans="1:4" ht="23.25">
      <c r="A155" s="183" t="s">
        <v>45</v>
      </c>
      <c r="B155" s="186">
        <v>5270</v>
      </c>
      <c r="C155" s="348">
        <v>130036.88</v>
      </c>
      <c r="D155" s="349"/>
    </row>
    <row r="156" spans="1:4" ht="23.25">
      <c r="A156" s="183" t="s">
        <v>45</v>
      </c>
      <c r="B156" s="186"/>
      <c r="C156" s="348">
        <v>63032.8</v>
      </c>
      <c r="D156" s="349"/>
    </row>
    <row r="157" spans="1:4" ht="23.25">
      <c r="A157" s="183" t="s">
        <v>46</v>
      </c>
      <c r="B157" s="186">
        <v>5300</v>
      </c>
      <c r="C157" s="348">
        <v>24667.52</v>
      </c>
      <c r="D157" s="349"/>
    </row>
    <row r="158" spans="1:4" ht="23.25">
      <c r="A158" s="183" t="s">
        <v>80</v>
      </c>
      <c r="B158" s="186"/>
      <c r="C158" s="348">
        <v>5000</v>
      </c>
      <c r="D158" s="349"/>
    </row>
    <row r="159" spans="1:4" ht="23.25">
      <c r="A159" s="183" t="s">
        <v>47</v>
      </c>
      <c r="B159" s="186"/>
      <c r="C159" s="348">
        <v>90000</v>
      </c>
      <c r="D159" s="349"/>
    </row>
    <row r="160" spans="1:4" ht="23.25">
      <c r="A160" s="183" t="s">
        <v>47</v>
      </c>
      <c r="B160" s="186"/>
      <c r="C160" s="348">
        <v>36000</v>
      </c>
      <c r="D160" s="349"/>
    </row>
    <row r="161" spans="1:4" ht="23.25">
      <c r="A161" s="183" t="s">
        <v>49</v>
      </c>
      <c r="B161" s="186"/>
      <c r="C161" s="348">
        <v>477000</v>
      </c>
      <c r="D161" s="349"/>
    </row>
    <row r="162" spans="1:4" ht="23.25">
      <c r="A162" s="183" t="s">
        <v>314</v>
      </c>
      <c r="B162" s="347" t="s">
        <v>57</v>
      </c>
      <c r="C162" s="348">
        <v>33156</v>
      </c>
      <c r="D162" s="349"/>
    </row>
    <row r="163" spans="1:4" ht="23.25">
      <c r="A163" s="183" t="s">
        <v>335</v>
      </c>
      <c r="B163" s="347" t="s">
        <v>327</v>
      </c>
      <c r="C163" s="348">
        <v>64990</v>
      </c>
      <c r="D163" s="349"/>
    </row>
    <row r="164" spans="1:4" ht="23.25">
      <c r="A164" s="183" t="s">
        <v>468</v>
      </c>
      <c r="B164" s="347"/>
      <c r="C164" s="348">
        <v>3000</v>
      </c>
      <c r="D164" s="349"/>
    </row>
    <row r="165" spans="1:4" ht="23.25">
      <c r="A165" s="183" t="s">
        <v>371</v>
      </c>
      <c r="B165" s="347"/>
      <c r="C165" s="348">
        <v>2652.97</v>
      </c>
      <c r="D165" s="349"/>
    </row>
    <row r="166" spans="1:4" ht="23.25">
      <c r="A166" s="183" t="s">
        <v>426</v>
      </c>
      <c r="B166" s="347"/>
      <c r="C166" s="348">
        <v>2031</v>
      </c>
      <c r="D166" s="349"/>
    </row>
    <row r="167" spans="1:4" ht="23.25">
      <c r="A167" s="183" t="s">
        <v>331</v>
      </c>
      <c r="B167" s="347"/>
      <c r="C167" s="348">
        <v>9290.54</v>
      </c>
      <c r="D167" s="349"/>
    </row>
    <row r="168" spans="1:4" ht="23.25">
      <c r="A168" s="183" t="s">
        <v>435</v>
      </c>
      <c r="B168" s="347"/>
      <c r="C168" s="348">
        <v>6210</v>
      </c>
      <c r="D168" s="349"/>
    </row>
    <row r="169" spans="1:4" ht="23.25">
      <c r="A169" s="183" t="s">
        <v>438</v>
      </c>
      <c r="B169" s="347"/>
      <c r="C169" s="348">
        <v>9208.28</v>
      </c>
      <c r="D169" s="349"/>
    </row>
    <row r="170" spans="1:4" ht="23.25">
      <c r="A170" s="200" t="s">
        <v>317</v>
      </c>
      <c r="B170" s="347"/>
      <c r="C170" s="348">
        <v>6200</v>
      </c>
      <c r="D170" s="349"/>
    </row>
    <row r="171" spans="1:4" ht="23.25">
      <c r="A171" s="183" t="s">
        <v>315</v>
      </c>
      <c r="B171" s="186"/>
      <c r="C171" s="348">
        <v>84100</v>
      </c>
      <c r="D171" s="349"/>
    </row>
    <row r="172" spans="1:4" ht="23.25">
      <c r="A172" s="183" t="s">
        <v>1</v>
      </c>
      <c r="B172" s="186"/>
      <c r="C172" s="348">
        <v>66300</v>
      </c>
      <c r="D172" s="349"/>
    </row>
    <row r="173" spans="1:4" ht="23.25">
      <c r="A173" s="183" t="s">
        <v>319</v>
      </c>
      <c r="B173" s="186"/>
      <c r="C173" s="348">
        <v>42800</v>
      </c>
      <c r="D173" s="349"/>
    </row>
    <row r="174" spans="1:4" ht="23.25">
      <c r="A174" s="183" t="s">
        <v>316</v>
      </c>
      <c r="B174" s="186"/>
      <c r="C174" s="348">
        <v>23800</v>
      </c>
      <c r="D174" s="349"/>
    </row>
    <row r="175" spans="1:4" ht="23.25">
      <c r="A175" s="350" t="s">
        <v>339</v>
      </c>
      <c r="B175" s="347"/>
      <c r="C175" s="349"/>
      <c r="D175" s="409">
        <v>1824789.61</v>
      </c>
    </row>
    <row r="176" spans="1:4" ht="23.25">
      <c r="A176" s="350" t="s">
        <v>331</v>
      </c>
      <c r="B176" s="186"/>
      <c r="C176" s="349"/>
      <c r="D176" s="409">
        <v>9547.45</v>
      </c>
    </row>
    <row r="177" spans="1:4" ht="23.25">
      <c r="A177" s="350" t="s">
        <v>317</v>
      </c>
      <c r="B177" s="186"/>
      <c r="C177" s="349"/>
      <c r="D177" s="409">
        <v>6200</v>
      </c>
    </row>
    <row r="178" spans="1:4" ht="23.25">
      <c r="A178" s="350" t="s">
        <v>1</v>
      </c>
      <c r="B178" s="186"/>
      <c r="C178" s="351">
        <f>SUM(C148:C177)</f>
        <v>2057537.06</v>
      </c>
      <c r="D178" s="409">
        <v>66300</v>
      </c>
    </row>
    <row r="179" spans="1:4" ht="23.25">
      <c r="A179" s="350" t="s">
        <v>319</v>
      </c>
      <c r="B179" s="186"/>
      <c r="C179" s="351"/>
      <c r="D179" s="409">
        <v>42800</v>
      </c>
    </row>
    <row r="180" spans="1:4" ht="23.25">
      <c r="A180" s="350" t="s">
        <v>316</v>
      </c>
      <c r="B180" s="186"/>
      <c r="C180" s="351"/>
      <c r="D180" s="409">
        <v>23800</v>
      </c>
    </row>
    <row r="181" spans="1:4" ht="23.25">
      <c r="A181" s="350" t="s">
        <v>315</v>
      </c>
      <c r="B181" s="186"/>
      <c r="C181" s="349"/>
      <c r="D181" s="409">
        <v>84100</v>
      </c>
    </row>
    <row r="182" spans="1:4" ht="23.25">
      <c r="A182" s="183"/>
      <c r="B182" s="186"/>
      <c r="C182" s="476">
        <f>SUM(C148:C175)</f>
        <v>2057537.06</v>
      </c>
      <c r="D182" s="484">
        <f>SUM(D175:D181)</f>
        <v>2057537.06</v>
      </c>
    </row>
    <row r="183" spans="1:5" ht="23.25">
      <c r="A183" s="352" t="s">
        <v>475</v>
      </c>
      <c r="B183" s="497"/>
      <c r="C183" s="497"/>
      <c r="D183" s="498"/>
      <c r="E183" s="473">
        <f>C182-D182</f>
        <v>0</v>
      </c>
    </row>
    <row r="184" spans="1:4" ht="23.25">
      <c r="A184" s="360" t="s">
        <v>318</v>
      </c>
      <c r="B184" s="47"/>
      <c r="C184" s="423"/>
      <c r="D184" s="356"/>
    </row>
    <row r="185" spans="1:4" ht="20.25">
      <c r="A185" s="477"/>
      <c r="B185" s="478"/>
      <c r="C185" s="478"/>
      <c r="D185" s="479"/>
    </row>
    <row r="186" spans="1:4" ht="23.25">
      <c r="A186" s="363"/>
      <c r="B186" s="364"/>
      <c r="C186" s="364"/>
      <c r="D186" s="365"/>
    </row>
  </sheetData>
  <sheetProtection/>
  <mergeCells count="12">
    <mergeCell ref="A1:D1"/>
    <mergeCell ref="A2:D2"/>
    <mergeCell ref="A3:D3"/>
    <mergeCell ref="A52:D52"/>
    <mergeCell ref="A53:D53"/>
    <mergeCell ref="A54:D54"/>
    <mergeCell ref="A143:D143"/>
    <mergeCell ref="A144:D144"/>
    <mergeCell ref="A145:D145"/>
    <mergeCell ref="A97:D97"/>
    <mergeCell ref="A98:D98"/>
    <mergeCell ref="A99:D99"/>
  </mergeCells>
  <printOptions/>
  <pageMargins left="0.66" right="0.38" top="0.24" bottom="0.29" header="0.16" footer="0.18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2"/>
  <sheetViews>
    <sheetView view="pageBreakPreview" zoomScaleSheetLayoutView="100" zoomScalePageLayoutView="0" workbookViewId="0" topLeftCell="A1">
      <selection activeCell="D32" sqref="D32"/>
    </sheetView>
  </sheetViews>
  <sheetFormatPr defaultColWidth="9.140625" defaultRowHeight="21.75"/>
  <cols>
    <col min="1" max="1" width="60.140625" style="344" customWidth="1"/>
    <col min="2" max="2" width="10.140625" style="344" customWidth="1"/>
    <col min="3" max="3" width="16.8515625" style="344" customWidth="1"/>
    <col min="4" max="4" width="16.421875" style="344" customWidth="1"/>
    <col min="5" max="5" width="29.421875" style="344" bestFit="1" customWidth="1"/>
    <col min="6" max="7" width="20.421875" style="344" bestFit="1" customWidth="1"/>
    <col min="8" max="16384" width="9.140625" style="344" customWidth="1"/>
  </cols>
  <sheetData>
    <row r="1" spans="1:4" ht="23.25">
      <c r="A1" s="691" t="s">
        <v>646</v>
      </c>
      <c r="B1" s="691"/>
      <c r="C1" s="691"/>
      <c r="D1" s="691"/>
    </row>
    <row r="2" spans="1:4" ht="23.25">
      <c r="A2" s="691" t="s">
        <v>647</v>
      </c>
      <c r="B2" s="691"/>
      <c r="C2" s="691"/>
      <c r="D2" s="691"/>
    </row>
    <row r="3" spans="1:4" ht="23.25">
      <c r="A3" s="692" t="s">
        <v>389</v>
      </c>
      <c r="B3" s="692"/>
      <c r="C3" s="692"/>
      <c r="D3" s="692"/>
    </row>
    <row r="4" spans="1:4" ht="23.25">
      <c r="A4" s="343" t="s">
        <v>489</v>
      </c>
      <c r="B4" s="343"/>
      <c r="C4" s="343"/>
      <c r="D4" s="343"/>
    </row>
    <row r="5" spans="1:4" ht="26.25" customHeight="1">
      <c r="A5" s="345" t="s">
        <v>36</v>
      </c>
      <c r="B5" s="346" t="s">
        <v>35</v>
      </c>
      <c r="C5" s="346" t="s">
        <v>313</v>
      </c>
      <c r="D5" s="346" t="s">
        <v>38</v>
      </c>
    </row>
    <row r="6" spans="1:5" ht="23.25">
      <c r="A6" s="200" t="s">
        <v>113</v>
      </c>
      <c r="B6" s="347"/>
      <c r="C6" s="348">
        <v>2367765.09</v>
      </c>
      <c r="D6" s="349"/>
      <c r="E6" s="366"/>
    </row>
    <row r="7" spans="1:5" ht="23.25">
      <c r="A7" s="200" t="s">
        <v>653</v>
      </c>
      <c r="B7" s="347"/>
      <c r="C7" s="349">
        <v>477000</v>
      </c>
      <c r="D7" s="349"/>
      <c r="E7" s="366"/>
    </row>
    <row r="8" spans="1:5" ht="23.25">
      <c r="A8" s="200" t="s">
        <v>655</v>
      </c>
      <c r="B8" s="347"/>
      <c r="C8" s="349">
        <v>1412000</v>
      </c>
      <c r="D8" s="349"/>
      <c r="E8" s="366"/>
    </row>
    <row r="9" spans="1:5" ht="23.25">
      <c r="A9" s="200" t="s">
        <v>682</v>
      </c>
      <c r="B9" s="347"/>
      <c r="C9" s="349">
        <v>9208.28</v>
      </c>
      <c r="D9" s="349"/>
      <c r="E9" s="366"/>
    </row>
    <row r="10" spans="1:5" ht="23.25">
      <c r="A10" s="437" t="s">
        <v>390</v>
      </c>
      <c r="B10" s="186"/>
      <c r="C10" s="348"/>
      <c r="D10" s="349">
        <v>5022.65</v>
      </c>
      <c r="E10" s="475"/>
    </row>
    <row r="11" spans="1:5" ht="23.25">
      <c r="A11" s="437" t="s">
        <v>459</v>
      </c>
      <c r="B11" s="186"/>
      <c r="C11" s="348"/>
      <c r="D11" s="349">
        <v>1290</v>
      </c>
      <c r="E11" s="475"/>
    </row>
    <row r="12" spans="1:5" ht="23.25">
      <c r="A12" s="437" t="s">
        <v>429</v>
      </c>
      <c r="B12" s="186"/>
      <c r="C12" s="348"/>
      <c r="D12" s="349">
        <v>6060</v>
      </c>
      <c r="E12" s="475"/>
    </row>
    <row r="13" spans="1:5" ht="23.25">
      <c r="A13" s="437" t="s">
        <v>391</v>
      </c>
      <c r="B13" s="186"/>
      <c r="C13" s="348"/>
      <c r="D13" s="349">
        <v>45.5</v>
      </c>
      <c r="E13" s="475"/>
    </row>
    <row r="14" spans="1:5" ht="23.25">
      <c r="A14" s="437" t="s">
        <v>392</v>
      </c>
      <c r="B14" s="186"/>
      <c r="C14" s="348"/>
      <c r="D14" s="349">
        <v>58165</v>
      </c>
      <c r="E14" s="366"/>
    </row>
    <row r="15" spans="1:4" ht="23.25">
      <c r="A15" s="437" t="s">
        <v>430</v>
      </c>
      <c r="B15" s="186"/>
      <c r="C15" s="348"/>
      <c r="D15" s="349">
        <v>200</v>
      </c>
    </row>
    <row r="16" spans="1:4" ht="23.25">
      <c r="A16" s="437" t="s">
        <v>393</v>
      </c>
      <c r="B16" s="186"/>
      <c r="C16" s="348"/>
      <c r="D16" s="349">
        <v>20</v>
      </c>
    </row>
    <row r="17" spans="1:4" ht="23.25">
      <c r="A17" s="437" t="s">
        <v>576</v>
      </c>
      <c r="B17" s="186"/>
      <c r="C17" s="348"/>
      <c r="D17" s="349">
        <v>700</v>
      </c>
    </row>
    <row r="18" spans="1:4" ht="23.25">
      <c r="A18" s="437" t="s">
        <v>522</v>
      </c>
      <c r="B18" s="186"/>
      <c r="C18" s="348"/>
      <c r="D18" s="349">
        <v>10</v>
      </c>
    </row>
    <row r="19" spans="1:4" ht="23.25">
      <c r="A19" s="437" t="s">
        <v>664</v>
      </c>
      <c r="B19" s="186"/>
      <c r="C19" s="348"/>
      <c r="D19" s="349">
        <v>2000</v>
      </c>
    </row>
    <row r="20" spans="1:4" ht="23.25">
      <c r="A20" s="437" t="s">
        <v>665</v>
      </c>
      <c r="B20" s="186"/>
      <c r="C20" s="348"/>
      <c r="D20" s="349">
        <v>200</v>
      </c>
    </row>
    <row r="21" spans="1:4" ht="23.25">
      <c r="A21" s="437" t="s">
        <v>394</v>
      </c>
      <c r="B21" s="186"/>
      <c r="C21" s="348"/>
      <c r="D21" s="349">
        <v>231</v>
      </c>
    </row>
    <row r="22" spans="1:4" ht="23.25">
      <c r="A22" s="437" t="s">
        <v>455</v>
      </c>
      <c r="B22" s="186"/>
      <c r="C22" s="348"/>
      <c r="D22" s="349">
        <v>202987.44</v>
      </c>
    </row>
    <row r="23" spans="1:4" ht="23.25">
      <c r="A23" s="437" t="s">
        <v>395</v>
      </c>
      <c r="B23" s="186"/>
      <c r="C23" s="348"/>
      <c r="D23" s="349">
        <v>17000</v>
      </c>
    </row>
    <row r="24" spans="1:4" ht="23.25">
      <c r="A24" s="437" t="s">
        <v>666</v>
      </c>
      <c r="B24" s="186"/>
      <c r="C24" s="348"/>
      <c r="D24" s="349">
        <v>2450</v>
      </c>
    </row>
    <row r="25" spans="1:4" ht="23.25">
      <c r="A25" s="437" t="s">
        <v>68</v>
      </c>
      <c r="B25" s="186"/>
      <c r="C25" s="348"/>
      <c r="D25" s="349">
        <v>12000</v>
      </c>
    </row>
    <row r="26" spans="1:4" ht="23.25">
      <c r="A26" s="437" t="s">
        <v>396</v>
      </c>
      <c r="B26" s="186"/>
      <c r="C26" s="348"/>
      <c r="D26" s="349">
        <v>290403.51</v>
      </c>
    </row>
    <row r="27" spans="1:4" ht="23.25">
      <c r="A27" s="437" t="s">
        <v>398</v>
      </c>
      <c r="B27" s="186"/>
      <c r="C27" s="348"/>
      <c r="D27" s="349">
        <v>127181.99</v>
      </c>
    </row>
    <row r="28" spans="1:4" ht="23.25">
      <c r="A28" s="437" t="s">
        <v>399</v>
      </c>
      <c r="B28" s="186"/>
      <c r="C28" s="348"/>
      <c r="D28" s="349">
        <v>277956.88</v>
      </c>
    </row>
    <row r="29" spans="1:4" ht="23.25">
      <c r="A29" s="437" t="s">
        <v>669</v>
      </c>
      <c r="B29" s="186"/>
      <c r="C29" s="348"/>
      <c r="D29" s="349">
        <v>35326.12</v>
      </c>
    </row>
    <row r="30" spans="1:4" ht="23.25">
      <c r="A30" s="437" t="s">
        <v>533</v>
      </c>
      <c r="B30" s="186"/>
      <c r="C30" s="348"/>
      <c r="D30" s="349">
        <v>1328515</v>
      </c>
    </row>
    <row r="31" spans="1:4" ht="23.25">
      <c r="A31" s="437" t="s">
        <v>683</v>
      </c>
      <c r="B31" s="186"/>
      <c r="C31" s="348"/>
      <c r="D31" s="349">
        <v>9208.28</v>
      </c>
    </row>
    <row r="32" spans="1:4" ht="23.25">
      <c r="A32" s="437" t="s">
        <v>667</v>
      </c>
      <c r="B32" s="186"/>
      <c r="C32" s="348"/>
      <c r="D32" s="349">
        <v>477000</v>
      </c>
    </row>
    <row r="33" spans="1:4" ht="23.25">
      <c r="A33" s="437" t="s">
        <v>668</v>
      </c>
      <c r="B33" s="186"/>
      <c r="C33" s="348"/>
      <c r="D33" s="349">
        <v>1412000</v>
      </c>
    </row>
    <row r="34" spans="1:5" ht="23.25">
      <c r="A34" s="437"/>
      <c r="B34" s="186"/>
      <c r="C34" s="348">
        <f>SUM(C6:C8)</f>
        <v>4256765.09</v>
      </c>
      <c r="D34" s="349">
        <f>SUM(D10:D33)</f>
        <v>4265973.369999999</v>
      </c>
      <c r="E34" s="562">
        <f>+C34-D34</f>
        <v>-9208.27999999933</v>
      </c>
    </row>
    <row r="35" spans="1:4" ht="31.5" customHeight="1">
      <c r="A35" s="352" t="s">
        <v>663</v>
      </c>
      <c r="B35" s="353"/>
      <c r="C35" s="353"/>
      <c r="D35" s="354"/>
    </row>
    <row r="36" spans="1:4" ht="15" customHeight="1">
      <c r="A36" s="355"/>
      <c r="B36" s="47"/>
      <c r="C36" s="47"/>
      <c r="D36" s="356"/>
    </row>
    <row r="37" spans="1:4" ht="27" customHeight="1">
      <c r="A37" s="198" t="s">
        <v>465</v>
      </c>
      <c r="B37" s="47"/>
      <c r="C37" s="47"/>
      <c r="D37" s="424"/>
    </row>
    <row r="38" spans="1:4" ht="23.25">
      <c r="A38" s="198"/>
      <c r="B38" s="47"/>
      <c r="C38" s="47"/>
      <c r="D38" s="424"/>
    </row>
    <row r="39" spans="1:4" ht="23.25">
      <c r="A39" s="363"/>
      <c r="B39" s="364"/>
      <c r="C39" s="364"/>
      <c r="D39" s="365"/>
    </row>
    <row r="41" spans="1:4" ht="23.25">
      <c r="A41" s="691" t="s">
        <v>450</v>
      </c>
      <c r="B41" s="691"/>
      <c r="C41" s="691"/>
      <c r="D41" s="691"/>
    </row>
    <row r="42" spans="1:4" ht="23.25">
      <c r="A42" s="691" t="s">
        <v>451</v>
      </c>
      <c r="B42" s="691"/>
      <c r="C42" s="691"/>
      <c r="D42" s="691"/>
    </row>
    <row r="43" spans="1:4" ht="23.25">
      <c r="A43" s="692" t="s">
        <v>389</v>
      </c>
      <c r="B43" s="692"/>
      <c r="C43" s="692"/>
      <c r="D43" s="692"/>
    </row>
    <row r="44" spans="1:4" ht="23.25">
      <c r="A44" s="343" t="s">
        <v>312</v>
      </c>
      <c r="B44" s="343"/>
      <c r="C44" s="343"/>
      <c r="D44" s="343"/>
    </row>
    <row r="45" spans="1:4" ht="23.25">
      <c r="A45" s="345" t="s">
        <v>36</v>
      </c>
      <c r="B45" s="346" t="s">
        <v>35</v>
      </c>
      <c r="C45" s="346" t="s">
        <v>313</v>
      </c>
      <c r="D45" s="346" t="s">
        <v>38</v>
      </c>
    </row>
    <row r="46" spans="1:4" ht="23.25">
      <c r="A46" s="200" t="s">
        <v>113</v>
      </c>
      <c r="B46" s="347"/>
      <c r="C46" s="348">
        <f>D48+D49+D50+D51+D52+D53+D54+D55+D56+D57+D58+D59+D60+D61+D62+D63+D64+D65</f>
        <v>835689.42</v>
      </c>
      <c r="D46" s="349"/>
    </row>
    <row r="47" spans="1:4" ht="23.25">
      <c r="A47" s="200" t="s">
        <v>402</v>
      </c>
      <c r="B47" s="347"/>
      <c r="C47" s="348">
        <v>1757700</v>
      </c>
      <c r="D47" s="349"/>
    </row>
    <row r="48" spans="1:4" ht="23.25">
      <c r="A48" s="437" t="s">
        <v>390</v>
      </c>
      <c r="B48" s="186"/>
      <c r="C48" s="348"/>
      <c r="D48" s="349">
        <v>1132.08</v>
      </c>
    </row>
    <row r="49" spans="1:4" ht="23.25">
      <c r="A49" s="437" t="s">
        <v>391</v>
      </c>
      <c r="B49" s="186"/>
      <c r="C49" s="348"/>
      <c r="D49" s="349">
        <v>284</v>
      </c>
    </row>
    <row r="50" spans="1:4" ht="23.25">
      <c r="A50" s="437" t="s">
        <v>392</v>
      </c>
      <c r="B50" s="186"/>
      <c r="C50" s="348"/>
      <c r="D50" s="349">
        <v>60390</v>
      </c>
    </row>
    <row r="51" spans="1:4" ht="23.25">
      <c r="A51" s="437" t="s">
        <v>430</v>
      </c>
      <c r="B51" s="186"/>
      <c r="C51" s="348"/>
      <c r="D51" s="349">
        <v>380</v>
      </c>
    </row>
    <row r="52" spans="1:4" ht="23.25">
      <c r="A52" s="437" t="s">
        <v>393</v>
      </c>
      <c r="B52" s="186"/>
      <c r="C52" s="348"/>
      <c r="D52" s="349">
        <v>60</v>
      </c>
    </row>
    <row r="53" spans="1:4" ht="23.25">
      <c r="A53" s="437" t="s">
        <v>440</v>
      </c>
      <c r="B53" s="186"/>
      <c r="C53" s="348"/>
      <c r="D53" s="349">
        <v>1200</v>
      </c>
    </row>
    <row r="54" spans="1:4" ht="23.25">
      <c r="A54" s="437" t="s">
        <v>441</v>
      </c>
      <c r="B54" s="186"/>
      <c r="C54" s="348"/>
      <c r="D54" s="349">
        <v>300</v>
      </c>
    </row>
    <row r="55" spans="1:4" ht="23.25">
      <c r="A55" s="437" t="s">
        <v>442</v>
      </c>
      <c r="B55" s="186"/>
      <c r="C55" s="348"/>
      <c r="D55" s="349">
        <v>10</v>
      </c>
    </row>
    <row r="56" spans="1:4" ht="23.25">
      <c r="A56" s="437" t="s">
        <v>394</v>
      </c>
      <c r="B56" s="186"/>
      <c r="C56" s="348"/>
      <c r="D56" s="349">
        <v>162</v>
      </c>
    </row>
    <row r="57" spans="1:4" ht="23.25">
      <c r="A57" s="437" t="s">
        <v>395</v>
      </c>
      <c r="B57" s="186"/>
      <c r="C57" s="348"/>
      <c r="D57" s="349">
        <v>2000</v>
      </c>
    </row>
    <row r="58" spans="1:4" ht="23.25">
      <c r="A58" s="437" t="s">
        <v>431</v>
      </c>
      <c r="B58" s="186"/>
      <c r="C58" s="348"/>
      <c r="D58" s="349">
        <v>520</v>
      </c>
    </row>
    <row r="59" spans="1:4" ht="23.25">
      <c r="A59" s="437" t="s">
        <v>432</v>
      </c>
      <c r="B59" s="186"/>
      <c r="C59" s="348"/>
      <c r="D59" s="349">
        <v>900</v>
      </c>
    </row>
    <row r="60" spans="1:4" ht="23.25">
      <c r="A60" s="437" t="s">
        <v>443</v>
      </c>
      <c r="B60" s="186"/>
      <c r="C60" s="348"/>
      <c r="D60" s="349">
        <v>3.68</v>
      </c>
    </row>
    <row r="61" spans="1:4" ht="23.25">
      <c r="A61" s="437" t="s">
        <v>444</v>
      </c>
      <c r="B61" s="186"/>
      <c r="C61" s="348"/>
      <c r="D61" s="349">
        <v>350</v>
      </c>
    </row>
    <row r="62" spans="1:4" ht="23.25">
      <c r="A62" s="437" t="s">
        <v>445</v>
      </c>
      <c r="B62" s="186"/>
      <c r="C62" s="348"/>
      <c r="D62" s="349">
        <v>433565.95</v>
      </c>
    </row>
    <row r="63" spans="1:4" ht="23.25">
      <c r="A63" s="437" t="s">
        <v>397</v>
      </c>
      <c r="B63" s="186"/>
      <c r="C63" s="348"/>
      <c r="D63" s="349">
        <v>12591.49</v>
      </c>
    </row>
    <row r="64" spans="1:4" ht="23.25">
      <c r="A64" s="437" t="s">
        <v>446</v>
      </c>
      <c r="B64" s="186"/>
      <c r="C64" s="348"/>
      <c r="D64" s="349">
        <v>23568.22</v>
      </c>
    </row>
    <row r="65" spans="1:4" ht="23.25">
      <c r="A65" s="437" t="s">
        <v>447</v>
      </c>
      <c r="B65" s="186"/>
      <c r="C65" s="348"/>
      <c r="D65" s="349">
        <v>298272</v>
      </c>
    </row>
    <row r="66" spans="1:4" ht="23.25">
      <c r="A66" s="437" t="s">
        <v>448</v>
      </c>
      <c r="B66" s="186"/>
      <c r="C66" s="348"/>
      <c r="D66" s="349">
        <v>187500</v>
      </c>
    </row>
    <row r="67" spans="1:4" ht="23.25">
      <c r="A67" s="437" t="s">
        <v>449</v>
      </c>
      <c r="B67" s="186"/>
      <c r="C67" s="348"/>
      <c r="D67" s="349">
        <v>1570200</v>
      </c>
    </row>
    <row r="68" spans="1:4" ht="23.25">
      <c r="A68" s="183"/>
      <c r="B68" s="186"/>
      <c r="C68" s="476">
        <f>SUM(C46:C67)</f>
        <v>2593389.42</v>
      </c>
      <c r="D68" s="476">
        <f>SUM(D46:D67)</f>
        <v>2593389.42</v>
      </c>
    </row>
    <row r="69" spans="1:4" ht="23.25">
      <c r="A69" s="352" t="s">
        <v>452</v>
      </c>
      <c r="B69" s="353"/>
      <c r="C69" s="353"/>
      <c r="D69" s="354"/>
    </row>
    <row r="70" spans="1:4" ht="23.25">
      <c r="A70" s="198"/>
      <c r="B70" s="47"/>
      <c r="C70" s="47"/>
      <c r="D70" s="424"/>
    </row>
    <row r="71" spans="1:4" ht="23.25">
      <c r="A71" s="198"/>
      <c r="B71" s="47"/>
      <c r="C71" s="47"/>
      <c r="D71" s="424"/>
    </row>
    <row r="72" spans="1:4" ht="23.25">
      <c r="A72" s="198" t="s">
        <v>465</v>
      </c>
      <c r="B72" s="47"/>
      <c r="C72" s="47"/>
      <c r="D72" s="424"/>
    </row>
    <row r="73" spans="1:4" ht="23.25">
      <c r="A73" s="198"/>
      <c r="B73" s="47"/>
      <c r="C73" s="47"/>
      <c r="D73" s="424"/>
    </row>
    <row r="74" spans="1:4" ht="23.25">
      <c r="A74" s="363"/>
      <c r="B74" s="364"/>
      <c r="C74" s="364"/>
      <c r="D74" s="365"/>
    </row>
    <row r="75" spans="1:4" ht="23.25">
      <c r="A75" s="691" t="s">
        <v>454</v>
      </c>
      <c r="B75" s="691"/>
      <c r="C75" s="691"/>
      <c r="D75" s="691"/>
    </row>
    <row r="76" spans="1:4" ht="23.25">
      <c r="A76" s="691" t="s">
        <v>453</v>
      </c>
      <c r="B76" s="691"/>
      <c r="C76" s="691"/>
      <c r="D76" s="691"/>
    </row>
    <row r="77" spans="1:4" ht="23.25">
      <c r="A77" s="692" t="s">
        <v>389</v>
      </c>
      <c r="B77" s="692"/>
      <c r="C77" s="692"/>
      <c r="D77" s="692"/>
    </row>
    <row r="78" spans="1:4" ht="23.25">
      <c r="A78" s="343" t="s">
        <v>312</v>
      </c>
      <c r="B78" s="343"/>
      <c r="C78" s="343"/>
      <c r="D78" s="343"/>
    </row>
    <row r="79" spans="1:4" ht="23.25">
      <c r="A79" s="345" t="s">
        <v>36</v>
      </c>
      <c r="B79" s="346" t="s">
        <v>35</v>
      </c>
      <c r="C79" s="346" t="s">
        <v>313</v>
      </c>
      <c r="D79" s="346" t="s">
        <v>38</v>
      </c>
    </row>
    <row r="80" spans="1:4" ht="23.25">
      <c r="A80" s="200" t="s">
        <v>113</v>
      </c>
      <c r="B80" s="347"/>
      <c r="C80" s="348">
        <f>D81+D82+D83+D84+D85+D86+D87+D88+D89+D90+D91+D92+D93</f>
        <v>2302976.39</v>
      </c>
      <c r="D80" s="349"/>
    </row>
    <row r="81" spans="1:4" ht="23.25">
      <c r="A81" s="437" t="s">
        <v>392</v>
      </c>
      <c r="B81" s="186"/>
      <c r="C81" s="348"/>
      <c r="D81" s="349">
        <v>21965</v>
      </c>
    </row>
    <row r="82" spans="1:4" ht="23.25">
      <c r="A82" s="437" t="s">
        <v>430</v>
      </c>
      <c r="B82" s="186"/>
      <c r="C82" s="348"/>
      <c r="D82" s="349">
        <v>150</v>
      </c>
    </row>
    <row r="83" spans="1:4" ht="23.25">
      <c r="A83" s="437" t="s">
        <v>441</v>
      </c>
      <c r="B83" s="186"/>
      <c r="C83" s="348"/>
      <c r="D83" s="349">
        <v>300</v>
      </c>
    </row>
    <row r="84" spans="1:4" ht="23.25">
      <c r="A84" s="437" t="s">
        <v>455</v>
      </c>
      <c r="B84" s="186"/>
      <c r="C84" s="348"/>
      <c r="D84" s="349">
        <v>14893.1</v>
      </c>
    </row>
    <row r="85" spans="1:4" ht="23.25">
      <c r="A85" s="437" t="s">
        <v>395</v>
      </c>
      <c r="B85" s="186"/>
      <c r="C85" s="348"/>
      <c r="D85" s="349">
        <v>31500</v>
      </c>
    </row>
    <row r="86" spans="1:4" ht="23.25">
      <c r="A86" s="437" t="s">
        <v>431</v>
      </c>
      <c r="B86" s="186"/>
      <c r="C86" s="348"/>
      <c r="D86" s="349">
        <v>1955</v>
      </c>
    </row>
    <row r="87" spans="1:4" ht="23.25">
      <c r="A87" s="437" t="s">
        <v>432</v>
      </c>
      <c r="B87" s="186"/>
      <c r="C87" s="348"/>
      <c r="D87" s="349">
        <v>900</v>
      </c>
    </row>
    <row r="88" spans="1:4" ht="23.25">
      <c r="A88" s="437" t="s">
        <v>443</v>
      </c>
      <c r="B88" s="186"/>
      <c r="C88" s="348"/>
      <c r="D88" s="349">
        <v>3000</v>
      </c>
    </row>
    <row r="89" spans="1:4" ht="23.25">
      <c r="A89" s="437" t="s">
        <v>396</v>
      </c>
      <c r="B89" s="186"/>
      <c r="C89" s="348"/>
      <c r="D89" s="349">
        <v>353874.88</v>
      </c>
    </row>
    <row r="90" spans="1:4" ht="23.25">
      <c r="A90" s="437" t="s">
        <v>398</v>
      </c>
      <c r="B90" s="186"/>
      <c r="C90" s="348"/>
      <c r="D90" s="349">
        <v>200489.03</v>
      </c>
    </row>
    <row r="91" spans="1:4" ht="23.25">
      <c r="A91" s="437" t="s">
        <v>399</v>
      </c>
      <c r="B91" s="186"/>
      <c r="C91" s="348"/>
      <c r="D91" s="349">
        <v>329931.38</v>
      </c>
    </row>
    <row r="92" spans="1:4" ht="23.25">
      <c r="A92" s="437" t="s">
        <v>447</v>
      </c>
      <c r="B92" s="186"/>
      <c r="C92" s="348"/>
      <c r="D92" s="349">
        <v>650098</v>
      </c>
    </row>
    <row r="93" spans="1:4" ht="23.25">
      <c r="A93" s="437" t="s">
        <v>433</v>
      </c>
      <c r="B93" s="186"/>
      <c r="C93" s="348"/>
      <c r="D93" s="349">
        <v>693920</v>
      </c>
    </row>
    <row r="94" spans="1:4" ht="23.25">
      <c r="A94" s="183"/>
      <c r="B94" s="186"/>
      <c r="C94" s="476">
        <f>SUM(C80:C93)</f>
        <v>2302976.39</v>
      </c>
      <c r="D94" s="476">
        <f>SUM(D81:D93)</f>
        <v>2302976.39</v>
      </c>
    </row>
    <row r="95" spans="1:4" ht="23.25">
      <c r="A95" s="352" t="s">
        <v>456</v>
      </c>
      <c r="B95" s="353"/>
      <c r="C95" s="353"/>
      <c r="D95" s="354"/>
    </row>
    <row r="96" spans="1:4" ht="23.25">
      <c r="A96" s="198"/>
      <c r="B96" s="47"/>
      <c r="C96" s="47"/>
      <c r="D96" s="424"/>
    </row>
    <row r="97" spans="1:4" ht="23.25">
      <c r="A97" s="198"/>
      <c r="B97" s="47"/>
      <c r="C97" s="47"/>
      <c r="D97" s="424"/>
    </row>
    <row r="98" spans="1:4" ht="23.25">
      <c r="A98" s="198" t="s">
        <v>465</v>
      </c>
      <c r="B98" s="47"/>
      <c r="C98" s="47"/>
      <c r="D98" s="424"/>
    </row>
    <row r="99" spans="1:4" ht="23.25">
      <c r="A99" s="198"/>
      <c r="B99" s="47"/>
      <c r="C99" s="47"/>
      <c r="D99" s="424"/>
    </row>
    <row r="100" spans="1:4" ht="23.25">
      <c r="A100" s="363"/>
      <c r="B100" s="364"/>
      <c r="C100" s="364"/>
      <c r="D100" s="365"/>
    </row>
    <row r="110" spans="1:4" ht="23.25">
      <c r="A110" s="691" t="s">
        <v>458</v>
      </c>
      <c r="B110" s="691"/>
      <c r="C110" s="691"/>
      <c r="D110" s="691"/>
    </row>
    <row r="111" spans="1:4" ht="23.25">
      <c r="A111" s="691" t="s">
        <v>457</v>
      </c>
      <c r="B111" s="691"/>
      <c r="C111" s="691"/>
      <c r="D111" s="691"/>
    </row>
    <row r="112" spans="1:4" ht="23.25">
      <c r="A112" s="692" t="s">
        <v>389</v>
      </c>
      <c r="B112" s="692"/>
      <c r="C112" s="692"/>
      <c r="D112" s="692"/>
    </row>
    <row r="113" spans="1:4" ht="23.25">
      <c r="A113" s="343" t="s">
        <v>312</v>
      </c>
      <c r="B113" s="343"/>
      <c r="C113" s="343"/>
      <c r="D113" s="343"/>
    </row>
    <row r="114" spans="1:4" ht="23.25">
      <c r="A114" s="345" t="s">
        <v>36</v>
      </c>
      <c r="B114" s="346" t="s">
        <v>35</v>
      </c>
      <c r="C114" s="346" t="s">
        <v>313</v>
      </c>
      <c r="D114" s="346" t="s">
        <v>38</v>
      </c>
    </row>
    <row r="115" spans="1:4" ht="23.25">
      <c r="A115" s="200" t="s">
        <v>113</v>
      </c>
      <c r="B115" s="347"/>
      <c r="C115" s="348">
        <f>D117+D118+D119+D120+D121+D122+D123+D124+D125+D126+D127+D128+D129+D130+D131+D132+D133+D134</f>
        <v>938376.8699999999</v>
      </c>
      <c r="D115" s="349"/>
    </row>
    <row r="116" spans="1:4" ht="23.25">
      <c r="A116" s="200" t="s">
        <v>463</v>
      </c>
      <c r="B116" s="347"/>
      <c r="C116" s="348">
        <v>1484000</v>
      </c>
      <c r="D116" s="349"/>
    </row>
    <row r="117" spans="1:4" ht="23.25">
      <c r="A117" s="437" t="s">
        <v>459</v>
      </c>
      <c r="B117" s="347"/>
      <c r="C117" s="348"/>
      <c r="D117" s="349">
        <v>142327</v>
      </c>
    </row>
    <row r="118" spans="1:4" ht="23.25">
      <c r="A118" s="437" t="s">
        <v>460</v>
      </c>
      <c r="B118" s="347"/>
      <c r="C118" s="348"/>
      <c r="D118" s="349">
        <v>47495.74</v>
      </c>
    </row>
    <row r="119" spans="1:4" ht="23.25">
      <c r="A119" s="437" t="s">
        <v>429</v>
      </c>
      <c r="B119" s="347"/>
      <c r="C119" s="348"/>
      <c r="D119" s="349">
        <v>23449</v>
      </c>
    </row>
    <row r="120" spans="1:4" ht="23.25">
      <c r="A120" s="437" t="s">
        <v>392</v>
      </c>
      <c r="B120" s="186"/>
      <c r="C120" s="348"/>
      <c r="D120" s="349">
        <f>99345+2500</f>
        <v>101845</v>
      </c>
    </row>
    <row r="121" spans="1:4" ht="23.25">
      <c r="A121" s="437" t="s">
        <v>430</v>
      </c>
      <c r="B121" s="186"/>
      <c r="C121" s="348"/>
      <c r="D121" s="349">
        <v>300</v>
      </c>
    </row>
    <row r="122" spans="1:4" ht="23.25">
      <c r="A122" s="437" t="s">
        <v>461</v>
      </c>
      <c r="B122" s="186"/>
      <c r="C122" s="348"/>
      <c r="D122" s="349">
        <v>1920</v>
      </c>
    </row>
    <row r="123" spans="1:4" ht="23.25">
      <c r="A123" s="437" t="s">
        <v>442</v>
      </c>
      <c r="B123" s="186"/>
      <c r="C123" s="348"/>
      <c r="D123" s="349">
        <v>20</v>
      </c>
    </row>
    <row r="124" spans="1:4" ht="23.25">
      <c r="A124" s="437" t="s">
        <v>394</v>
      </c>
      <c r="B124" s="186"/>
      <c r="C124" s="348"/>
      <c r="D124" s="349">
        <v>3315</v>
      </c>
    </row>
    <row r="125" spans="1:4" ht="23.25">
      <c r="A125" s="437" t="s">
        <v>455</v>
      </c>
      <c r="B125" s="186"/>
      <c r="C125" s="348"/>
      <c r="D125" s="349">
        <v>426.54</v>
      </c>
    </row>
    <row r="126" spans="1:4" ht="23.25">
      <c r="A126" s="437" t="s">
        <v>431</v>
      </c>
      <c r="B126" s="186"/>
      <c r="C126" s="348"/>
      <c r="D126" s="349">
        <v>415</v>
      </c>
    </row>
    <row r="127" spans="1:4" ht="23.25">
      <c r="A127" s="437" t="s">
        <v>432</v>
      </c>
      <c r="B127" s="186"/>
      <c r="C127" s="348"/>
      <c r="D127" s="349">
        <v>300</v>
      </c>
    </row>
    <row r="128" spans="1:4" ht="23.25">
      <c r="A128" s="437" t="s">
        <v>443</v>
      </c>
      <c r="B128" s="186"/>
      <c r="C128" s="348"/>
      <c r="D128" s="349">
        <v>1000</v>
      </c>
    </row>
    <row r="129" spans="1:4" ht="23.25">
      <c r="A129" s="437" t="s">
        <v>68</v>
      </c>
      <c r="B129" s="186"/>
      <c r="C129" s="348"/>
      <c r="D129" s="349">
        <v>25</v>
      </c>
    </row>
    <row r="130" spans="1:4" ht="23.25">
      <c r="A130" s="437" t="s">
        <v>444</v>
      </c>
      <c r="B130" s="186"/>
      <c r="C130" s="348"/>
      <c r="D130" s="349">
        <v>700</v>
      </c>
    </row>
    <row r="131" spans="1:4" ht="23.25">
      <c r="A131" s="437" t="s">
        <v>396</v>
      </c>
      <c r="B131" s="186"/>
      <c r="C131" s="348"/>
      <c r="D131" s="349">
        <v>305490.62</v>
      </c>
    </row>
    <row r="132" spans="1:4" ht="23.25">
      <c r="A132" s="437" t="s">
        <v>398</v>
      </c>
      <c r="B132" s="186"/>
      <c r="C132" s="348"/>
      <c r="D132" s="349">
        <v>142901.17</v>
      </c>
    </row>
    <row r="133" spans="1:4" ht="23.25">
      <c r="A133" s="437" t="s">
        <v>399</v>
      </c>
      <c r="B133" s="186"/>
      <c r="C133" s="348"/>
      <c r="D133" s="349">
        <v>154473.31</v>
      </c>
    </row>
    <row r="134" spans="1:4" ht="23.25">
      <c r="A134" s="437" t="s">
        <v>400</v>
      </c>
      <c r="B134" s="186"/>
      <c r="C134" s="348"/>
      <c r="D134" s="349">
        <v>11973.49</v>
      </c>
    </row>
    <row r="135" spans="1:4" ht="23.25">
      <c r="A135" s="437" t="s">
        <v>462</v>
      </c>
      <c r="B135" s="186"/>
      <c r="C135" s="348"/>
      <c r="D135" s="349">
        <v>1484000</v>
      </c>
    </row>
    <row r="136" spans="1:4" ht="23.25">
      <c r="A136" s="183"/>
      <c r="B136" s="186"/>
      <c r="C136" s="476">
        <f>SUM(C115:C134)</f>
        <v>2422376.87</v>
      </c>
      <c r="D136" s="476">
        <f>SUM(D117:D135)</f>
        <v>2422376.87</v>
      </c>
    </row>
    <row r="137" spans="1:4" ht="23.25">
      <c r="A137" s="352" t="s">
        <v>464</v>
      </c>
      <c r="B137" s="353"/>
      <c r="C137" s="353"/>
      <c r="D137" s="354"/>
    </row>
    <row r="138" spans="1:4" ht="23.25">
      <c r="A138" s="198"/>
      <c r="B138" s="47"/>
      <c r="C138" s="47"/>
      <c r="D138" s="424"/>
    </row>
    <row r="139" spans="1:4" ht="23.25">
      <c r="A139" s="198"/>
      <c r="B139" s="47"/>
      <c r="C139" s="47"/>
      <c r="D139" s="424"/>
    </row>
    <row r="140" spans="1:4" ht="23.25">
      <c r="A140" s="198" t="s">
        <v>465</v>
      </c>
      <c r="B140" s="47"/>
      <c r="C140" s="47"/>
      <c r="D140" s="424"/>
    </row>
    <row r="141" spans="1:4" ht="23.25">
      <c r="A141" s="198"/>
      <c r="B141" s="47"/>
      <c r="C141" s="47"/>
      <c r="D141" s="424"/>
    </row>
    <row r="142" spans="1:4" ht="23.25">
      <c r="A142" s="363"/>
      <c r="B142" s="364"/>
      <c r="C142" s="364"/>
      <c r="D142" s="365"/>
    </row>
  </sheetData>
  <sheetProtection/>
  <mergeCells count="12">
    <mergeCell ref="A75:D75"/>
    <mergeCell ref="A76:D76"/>
    <mergeCell ref="A77:D77"/>
    <mergeCell ref="A110:D110"/>
    <mergeCell ref="A111:D111"/>
    <mergeCell ref="A112:D112"/>
    <mergeCell ref="A1:D1"/>
    <mergeCell ref="A2:D2"/>
    <mergeCell ref="A3:D3"/>
    <mergeCell ref="A41:D41"/>
    <mergeCell ref="A42:D42"/>
    <mergeCell ref="A43:D43"/>
  </mergeCells>
  <printOptions/>
  <pageMargins left="0.9055118110236221" right="0.15748031496062992" top="0.44" bottom="0.59" header="0.15748031496062992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4"/>
  <sheetViews>
    <sheetView view="pageBreakPreview" zoomScaleSheetLayoutView="100" zoomScalePageLayoutView="0" workbookViewId="0" topLeftCell="A62">
      <selection activeCell="D64" sqref="D64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1.7109375" style="14" bestFit="1" customWidth="1"/>
    <col min="9" max="9" width="14.8515625" style="14" customWidth="1"/>
    <col min="10" max="10" width="10.140625" style="14" customWidth="1"/>
    <col min="11" max="16384" width="9.140625" style="14" customWidth="1"/>
  </cols>
  <sheetData>
    <row r="1" spans="1:7" ht="59.25" customHeight="1">
      <c r="A1" s="120" t="s">
        <v>510</v>
      </c>
      <c r="B1" s="120"/>
      <c r="C1" s="120"/>
      <c r="D1" s="120"/>
      <c r="E1" s="120"/>
      <c r="F1" s="120"/>
      <c r="G1" s="120"/>
    </row>
    <row r="2" spans="1:7" ht="23.25">
      <c r="A2" s="120" t="s">
        <v>58</v>
      </c>
      <c r="B2" s="120"/>
      <c r="C2" s="120"/>
      <c r="D2" s="120"/>
      <c r="E2" s="120"/>
      <c r="F2" s="120"/>
      <c r="G2" s="120" t="s">
        <v>531</v>
      </c>
    </row>
    <row r="3" spans="1:7" ht="23.25">
      <c r="A3" s="604" t="s">
        <v>59</v>
      </c>
      <c r="B3" s="604"/>
      <c r="C3" s="604"/>
      <c r="D3" s="604"/>
      <c r="E3" s="604"/>
      <c r="F3" s="604"/>
      <c r="G3" s="604"/>
    </row>
    <row r="4" spans="1:7" ht="23.25">
      <c r="A4" s="121"/>
      <c r="B4" s="121"/>
      <c r="C4" s="121"/>
      <c r="D4" s="121"/>
      <c r="E4" s="121"/>
      <c r="F4" s="121" t="s">
        <v>734</v>
      </c>
      <c r="G4" s="121"/>
    </row>
    <row r="5" spans="1:7" ht="16.5" customHeight="1">
      <c r="A5" s="121"/>
      <c r="B5" s="121"/>
      <c r="C5" s="121"/>
      <c r="D5" s="121"/>
      <c r="E5" s="121"/>
      <c r="F5" s="121"/>
      <c r="G5" s="121"/>
    </row>
    <row r="6" spans="1:7" ht="23.25">
      <c r="A6" s="583" t="s">
        <v>60</v>
      </c>
      <c r="B6" s="584"/>
      <c r="C6" s="585" t="s">
        <v>36</v>
      </c>
      <c r="D6" s="586"/>
      <c r="E6" s="587"/>
      <c r="F6" s="587" t="s">
        <v>35</v>
      </c>
      <c r="G6" s="122" t="s">
        <v>63</v>
      </c>
    </row>
    <row r="7" spans="1:7" ht="23.25">
      <c r="A7" s="123" t="s">
        <v>61</v>
      </c>
      <c r="B7" s="124" t="s">
        <v>62</v>
      </c>
      <c r="C7" s="588"/>
      <c r="D7" s="589"/>
      <c r="E7" s="590"/>
      <c r="F7" s="590"/>
      <c r="G7" s="125" t="s">
        <v>62</v>
      </c>
    </row>
    <row r="8" spans="1:7" ht="23.25">
      <c r="A8" s="126" t="s">
        <v>54</v>
      </c>
      <c r="B8" s="127" t="s">
        <v>54</v>
      </c>
      <c r="C8" s="591"/>
      <c r="D8" s="592"/>
      <c r="E8" s="593"/>
      <c r="F8" s="593"/>
      <c r="G8" s="128" t="s">
        <v>54</v>
      </c>
    </row>
    <row r="9" spans="1:7" ht="23.25">
      <c r="A9" s="129"/>
      <c r="B9" s="130">
        <v>27948441.37</v>
      </c>
      <c r="C9" s="605" t="s">
        <v>64</v>
      </c>
      <c r="D9" s="601"/>
      <c r="E9" s="602"/>
      <c r="F9" s="131"/>
      <c r="G9" s="132">
        <v>37749690.17</v>
      </c>
    </row>
    <row r="10" spans="1:10" ht="24" thickBot="1">
      <c r="A10" s="125"/>
      <c r="B10" s="133"/>
      <c r="C10" s="606" t="s">
        <v>93</v>
      </c>
      <c r="D10" s="597"/>
      <c r="E10" s="598"/>
      <c r="F10" s="134"/>
      <c r="G10" s="135"/>
      <c r="J10" s="141"/>
    </row>
    <row r="11" spans="1:9" ht="24" thickTop="1">
      <c r="A11" s="136">
        <v>1231000</v>
      </c>
      <c r="B11" s="133">
        <f>G11+1307383.88</f>
        <v>1319756.5299999998</v>
      </c>
      <c r="C11" s="594" t="s">
        <v>65</v>
      </c>
      <c r="D11" s="578"/>
      <c r="E11" s="595"/>
      <c r="F11" s="137" t="s">
        <v>71</v>
      </c>
      <c r="G11" s="133">
        <f>5022.65+1290+6060</f>
        <v>12372.65</v>
      </c>
      <c r="H11" s="138"/>
      <c r="I11" s="138"/>
    </row>
    <row r="12" spans="1:7" ht="23.25">
      <c r="A12" s="136">
        <v>657000</v>
      </c>
      <c r="B12" s="133">
        <f>G12+768804</f>
        <v>830375.5</v>
      </c>
      <c r="C12" s="594" t="s">
        <v>66</v>
      </c>
      <c r="D12" s="578"/>
      <c r="E12" s="595"/>
      <c r="F12" s="137" t="s">
        <v>72</v>
      </c>
      <c r="G12" s="133">
        <f>45.5+58165+200+20+700+10+200+2000+231</f>
        <v>61571.5</v>
      </c>
    </row>
    <row r="13" spans="1:10" ht="23.25">
      <c r="A13" s="136">
        <v>215000</v>
      </c>
      <c r="B13" s="133">
        <f>G13+140201.56</f>
        <v>343189</v>
      </c>
      <c r="C13" s="594" t="s">
        <v>67</v>
      </c>
      <c r="D13" s="578"/>
      <c r="E13" s="595"/>
      <c r="F13" s="137" t="s">
        <v>73</v>
      </c>
      <c r="G13" s="133">
        <v>202987.44</v>
      </c>
      <c r="H13" s="138"/>
      <c r="I13" s="138"/>
      <c r="J13" s="138"/>
    </row>
    <row r="14" spans="1:7" ht="23.25">
      <c r="A14" s="136">
        <v>96300</v>
      </c>
      <c r="B14" s="133">
        <f>G14+207170.12</f>
        <v>238620.12</v>
      </c>
      <c r="C14" s="594" t="s">
        <v>68</v>
      </c>
      <c r="D14" s="578"/>
      <c r="E14" s="595"/>
      <c r="F14" s="137" t="s">
        <v>74</v>
      </c>
      <c r="G14" s="133">
        <f>17000+2450+12000</f>
        <v>31450</v>
      </c>
    </row>
    <row r="15" spans="1:7" ht="23.25">
      <c r="A15" s="139">
        <v>16100700</v>
      </c>
      <c r="B15" s="133">
        <f>G15+14267281.09</f>
        <v>16326664.59</v>
      </c>
      <c r="C15" s="594" t="s">
        <v>69</v>
      </c>
      <c r="D15" s="578"/>
      <c r="E15" s="595"/>
      <c r="F15" s="137" t="s">
        <v>75</v>
      </c>
      <c r="G15" s="133">
        <f>290403.51+127181.99+277956.88+35326.12+1328515</f>
        <v>2059383.5</v>
      </c>
    </row>
    <row r="16" spans="1:7" ht="23.25">
      <c r="A16" s="139">
        <v>10700000</v>
      </c>
      <c r="B16" s="133">
        <f>G16+7451880</f>
        <v>7451880</v>
      </c>
      <c r="C16" s="594" t="s">
        <v>70</v>
      </c>
      <c r="D16" s="578"/>
      <c r="E16" s="595"/>
      <c r="F16" s="137" t="s">
        <v>76</v>
      </c>
      <c r="G16" s="133">
        <v>0</v>
      </c>
    </row>
    <row r="17" spans="1:7" ht="24" thickBot="1">
      <c r="A17" s="140">
        <f>SUM(A11:A16)</f>
        <v>29000000</v>
      </c>
      <c r="B17" s="141">
        <f>SUM(B11:B16)</f>
        <v>26510485.74</v>
      </c>
      <c r="C17" s="596"/>
      <c r="D17" s="597"/>
      <c r="E17" s="598"/>
      <c r="F17" s="142"/>
      <c r="G17" s="141">
        <f>SUM(G11:G16)</f>
        <v>2367765.09</v>
      </c>
    </row>
    <row r="18" spans="1:7" ht="24" thickTop="1">
      <c r="A18" s="285">
        <f>A17-B17</f>
        <v>2489514.2600000016</v>
      </c>
      <c r="B18" s="144"/>
      <c r="C18" s="95" t="s">
        <v>168</v>
      </c>
      <c r="D18" s="96"/>
      <c r="E18" s="97"/>
      <c r="F18" s="142"/>
      <c r="G18" s="145"/>
    </row>
    <row r="19" spans="1:7" ht="23.25">
      <c r="A19" s="285"/>
      <c r="B19" s="523">
        <f>G19+13190030.38</f>
        <v>15088238.66</v>
      </c>
      <c r="C19" s="513" t="s">
        <v>532</v>
      </c>
      <c r="D19" s="96"/>
      <c r="E19" s="97"/>
      <c r="F19" s="142"/>
      <c r="G19" s="514">
        <f>477000+1412000+9208.28</f>
        <v>1898208.28</v>
      </c>
    </row>
    <row r="20" spans="1:7" ht="23.25">
      <c r="A20" s="285"/>
      <c r="B20" s="523">
        <f>G20+17800</f>
        <v>21200</v>
      </c>
      <c r="C20" s="108" t="s">
        <v>82</v>
      </c>
      <c r="F20" s="142"/>
      <c r="G20" s="514">
        <v>3400</v>
      </c>
    </row>
    <row r="21" spans="1:7" ht="23.25">
      <c r="A21" s="285"/>
      <c r="B21" s="523">
        <f>G21+92760</f>
        <v>94160</v>
      </c>
      <c r="C21" s="594" t="s">
        <v>81</v>
      </c>
      <c r="D21" s="578"/>
      <c r="E21" s="595"/>
      <c r="F21" s="142"/>
      <c r="G21" s="514">
        <v>1400</v>
      </c>
    </row>
    <row r="22" spans="1:7" ht="23.25">
      <c r="A22" s="143"/>
      <c r="B22" s="270">
        <f>G22+27426</f>
        <v>27426</v>
      </c>
      <c r="C22" s="93" t="s">
        <v>49</v>
      </c>
      <c r="D22" s="96"/>
      <c r="E22" s="97"/>
      <c r="F22" s="142"/>
      <c r="G22" s="154">
        <v>0</v>
      </c>
    </row>
    <row r="23" spans="1:7" ht="23.25">
      <c r="A23" s="146"/>
      <c r="B23" s="133">
        <f>G23+208386.32</f>
        <v>433246.97</v>
      </c>
      <c r="C23" s="594" t="s">
        <v>50</v>
      </c>
      <c r="D23" s="578"/>
      <c r="E23" s="595"/>
      <c r="F23" s="125">
        <v>900</v>
      </c>
      <c r="G23" s="133">
        <f>264.35+2250+189603+32743.3</f>
        <v>224860.65</v>
      </c>
    </row>
    <row r="24" spans="1:7" ht="23.25">
      <c r="A24" s="28"/>
      <c r="B24" s="147">
        <f>B19+B20+B21+B22+B23</f>
        <v>15664271.63</v>
      </c>
      <c r="C24" s="597"/>
      <c r="D24" s="597"/>
      <c r="E24" s="597"/>
      <c r="F24" s="142"/>
      <c r="G24" s="147">
        <f>G19+G20+G21+G22+G23</f>
        <v>2127868.93</v>
      </c>
    </row>
    <row r="25" spans="1:7" ht="24" thickBot="1">
      <c r="A25" s="28"/>
      <c r="B25" s="141">
        <f>B17+B24</f>
        <v>42174757.37</v>
      </c>
      <c r="C25" s="603" t="s">
        <v>77</v>
      </c>
      <c r="D25" s="603"/>
      <c r="E25" s="603"/>
      <c r="F25" s="148"/>
      <c r="G25" s="149">
        <f>G17+G24</f>
        <v>4495634.02</v>
      </c>
    </row>
    <row r="26" spans="1:7" ht="24" thickTop="1">
      <c r="A26" s="150"/>
      <c r="B26" s="151"/>
      <c r="C26" s="599"/>
      <c r="D26" s="599"/>
      <c r="E26" s="599"/>
      <c r="F26" s="50"/>
      <c r="G26" s="150"/>
    </row>
    <row r="27" spans="1:7" ht="23.25">
      <c r="A27" s="150"/>
      <c r="B27" s="151"/>
      <c r="C27" s="152"/>
      <c r="D27" s="152"/>
      <c r="E27" s="152"/>
      <c r="F27" s="50"/>
      <c r="G27" s="150"/>
    </row>
    <row r="28" spans="1:7" ht="23.25">
      <c r="A28" s="150"/>
      <c r="B28" s="151"/>
      <c r="C28" s="152"/>
      <c r="D28" s="152"/>
      <c r="E28" s="152"/>
      <c r="F28" s="50"/>
      <c r="G28" s="150"/>
    </row>
    <row r="29" spans="1:7" ht="23.25">
      <c r="A29" s="150"/>
      <c r="B29" s="151"/>
      <c r="C29" s="152"/>
      <c r="D29" s="152"/>
      <c r="E29" s="152"/>
      <c r="F29" s="50"/>
      <c r="G29" s="150"/>
    </row>
    <row r="30" spans="1:7" ht="23.25">
      <c r="A30" s="150"/>
      <c r="B30" s="151"/>
      <c r="C30" s="152"/>
      <c r="D30" s="152"/>
      <c r="E30" s="152"/>
      <c r="F30" s="50"/>
      <c r="G30" s="150"/>
    </row>
    <row r="31" spans="1:7" ht="23.25">
      <c r="A31" s="150"/>
      <c r="B31" s="151"/>
      <c r="C31" s="152"/>
      <c r="D31" s="152"/>
      <c r="E31" s="152"/>
      <c r="F31" s="50"/>
      <c r="G31" s="150"/>
    </row>
    <row r="32" spans="1:7" ht="23.25">
      <c r="A32" s="150"/>
      <c r="B32" s="150"/>
      <c r="C32" s="599"/>
      <c r="D32" s="599"/>
      <c r="E32" s="599"/>
      <c r="F32" s="150"/>
      <c r="G32" s="150"/>
    </row>
    <row r="33" spans="1:7" ht="23.25">
      <c r="A33" s="150"/>
      <c r="B33" s="150"/>
      <c r="C33" s="152"/>
      <c r="D33" s="152"/>
      <c r="E33" s="152"/>
      <c r="F33" s="150"/>
      <c r="G33" s="150"/>
    </row>
    <row r="34" spans="1:7" ht="23.25">
      <c r="A34" s="150"/>
      <c r="B34" s="150"/>
      <c r="C34" s="152"/>
      <c r="D34" s="152"/>
      <c r="E34" s="152"/>
      <c r="F34" s="150"/>
      <c r="G34" s="150"/>
    </row>
    <row r="35" spans="1:7" ht="23.25">
      <c r="A35" s="150"/>
      <c r="B35" s="150"/>
      <c r="C35" s="152"/>
      <c r="D35" s="152"/>
      <c r="E35" s="152"/>
      <c r="F35" s="150"/>
      <c r="G35" s="150"/>
    </row>
    <row r="36" spans="1:7" ht="23.25">
      <c r="A36" s="582" t="s">
        <v>96</v>
      </c>
      <c r="B36" s="582"/>
      <c r="C36" s="582"/>
      <c r="D36" s="582"/>
      <c r="E36" s="582"/>
      <c r="F36" s="582"/>
      <c r="G36" s="582"/>
    </row>
    <row r="37" spans="1:7" ht="23.25">
      <c r="A37" s="583" t="s">
        <v>60</v>
      </c>
      <c r="B37" s="584"/>
      <c r="C37" s="585" t="s">
        <v>36</v>
      </c>
      <c r="D37" s="586"/>
      <c r="E37" s="587"/>
      <c r="F37" s="587" t="s">
        <v>35</v>
      </c>
      <c r="G37" s="122" t="s">
        <v>63</v>
      </c>
    </row>
    <row r="38" spans="1:7" ht="23.25">
      <c r="A38" s="123" t="s">
        <v>61</v>
      </c>
      <c r="B38" s="124" t="s">
        <v>62</v>
      </c>
      <c r="C38" s="588"/>
      <c r="D38" s="589"/>
      <c r="E38" s="590"/>
      <c r="F38" s="590"/>
      <c r="G38" s="125" t="s">
        <v>62</v>
      </c>
    </row>
    <row r="39" spans="1:7" ht="23.25">
      <c r="A39" s="126" t="s">
        <v>54</v>
      </c>
      <c r="B39" s="127" t="s">
        <v>54</v>
      </c>
      <c r="C39" s="591"/>
      <c r="D39" s="592"/>
      <c r="E39" s="593"/>
      <c r="F39" s="593"/>
      <c r="G39" s="128" t="s">
        <v>54</v>
      </c>
    </row>
    <row r="40" spans="1:7" ht="23.25">
      <c r="A40" s="129"/>
      <c r="B40" s="129"/>
      <c r="C40" s="600" t="s">
        <v>78</v>
      </c>
      <c r="D40" s="601"/>
      <c r="E40" s="602"/>
      <c r="F40" s="131"/>
      <c r="G40" s="153"/>
    </row>
    <row r="41" spans="1:9" ht="23.25">
      <c r="A41" s="510">
        <v>2339450</v>
      </c>
      <c r="B41" s="133">
        <f>G41+720206.56</f>
        <v>751231.88</v>
      </c>
      <c r="C41" s="594" t="s">
        <v>48</v>
      </c>
      <c r="D41" s="578"/>
      <c r="E41" s="595"/>
      <c r="F41" s="137" t="s">
        <v>51</v>
      </c>
      <c r="G41" s="133">
        <v>31025.32</v>
      </c>
      <c r="I41" s="511"/>
    </row>
    <row r="42" spans="1:9" ht="23.25">
      <c r="A42" s="510">
        <v>8973380</v>
      </c>
      <c r="B42" s="133">
        <f>G42+4034592.82</f>
        <v>4623567.82</v>
      </c>
      <c r="C42" s="594" t="s">
        <v>42</v>
      </c>
      <c r="D42" s="578"/>
      <c r="E42" s="595"/>
      <c r="F42" s="125">
        <v>100</v>
      </c>
      <c r="G42" s="133">
        <v>588975</v>
      </c>
      <c r="I42" s="512"/>
    </row>
    <row r="43" spans="1:9" ht="23.25">
      <c r="A43" s="510">
        <v>1531920</v>
      </c>
      <c r="B43" s="133">
        <f>G43+1028480</f>
        <v>1157040</v>
      </c>
      <c r="C43" s="594" t="s">
        <v>56</v>
      </c>
      <c r="D43" s="578"/>
      <c r="E43" s="595"/>
      <c r="F43" s="125">
        <v>130</v>
      </c>
      <c r="G43" s="133">
        <f>127660+900</f>
        <v>128560</v>
      </c>
      <c r="I43" s="512"/>
    </row>
    <row r="44" spans="1:9" ht="23.25">
      <c r="A44" s="510">
        <v>691900</v>
      </c>
      <c r="B44" s="133">
        <f>G44+314258</f>
        <v>368344</v>
      </c>
      <c r="C44" s="594" t="s">
        <v>43</v>
      </c>
      <c r="D44" s="578"/>
      <c r="E44" s="595"/>
      <c r="F44" s="125">
        <v>200</v>
      </c>
      <c r="G44" s="133">
        <v>54086</v>
      </c>
      <c r="I44" s="511"/>
    </row>
    <row r="45" spans="1:9" ht="23.25">
      <c r="A45" s="510">
        <v>5735250</v>
      </c>
      <c r="B45" s="133">
        <f>G45+2649459.93</f>
        <v>2976812.85</v>
      </c>
      <c r="C45" s="594" t="s">
        <v>44</v>
      </c>
      <c r="D45" s="578"/>
      <c r="E45" s="595"/>
      <c r="F45" s="125">
        <v>250</v>
      </c>
      <c r="G45" s="133">
        <f>133759.21+193593.71</f>
        <v>327352.92</v>
      </c>
      <c r="I45" s="511"/>
    </row>
    <row r="46" spans="1:9" ht="23.25">
      <c r="A46" s="510">
        <v>2276400</v>
      </c>
      <c r="B46" s="133">
        <f>G46+1004301.26</f>
        <v>1175385.05</v>
      </c>
      <c r="C46" s="594" t="s">
        <v>45</v>
      </c>
      <c r="D46" s="578"/>
      <c r="E46" s="595"/>
      <c r="F46" s="125">
        <v>270</v>
      </c>
      <c r="G46" s="133">
        <f>117967.25+53116.54</f>
        <v>171083.79</v>
      </c>
      <c r="I46" s="512"/>
    </row>
    <row r="47" spans="1:9" ht="23.25">
      <c r="A47" s="510">
        <v>514000</v>
      </c>
      <c r="B47" s="133">
        <f>G47+363170.6</f>
        <v>434458.89</v>
      </c>
      <c r="C47" s="594" t="s">
        <v>46</v>
      </c>
      <c r="D47" s="578"/>
      <c r="E47" s="595"/>
      <c r="F47" s="125">
        <v>300</v>
      </c>
      <c r="G47" s="133">
        <f>35585.98+35702.31</f>
        <v>71288.29000000001</v>
      </c>
      <c r="I47" s="511"/>
    </row>
    <row r="48" spans="1:9" ht="23.25">
      <c r="A48" s="510">
        <v>3085600</v>
      </c>
      <c r="B48" s="133">
        <f>+G48+2234035</f>
        <v>2284035</v>
      </c>
      <c r="C48" s="594" t="s">
        <v>47</v>
      </c>
      <c r="D48" s="578"/>
      <c r="E48" s="595"/>
      <c r="F48" s="125">
        <v>400</v>
      </c>
      <c r="G48" s="133">
        <v>50000</v>
      </c>
      <c r="I48" s="512"/>
    </row>
    <row r="49" spans="1:9" ht="23.25">
      <c r="A49" s="510">
        <v>1562100</v>
      </c>
      <c r="B49" s="133">
        <f>G49+316640</f>
        <v>1107111</v>
      </c>
      <c r="C49" s="93" t="s">
        <v>79</v>
      </c>
      <c r="D49" s="89"/>
      <c r="E49" s="94"/>
      <c r="F49" s="125">
        <v>450</v>
      </c>
      <c r="G49" s="133">
        <f>37771+752700</f>
        <v>790471</v>
      </c>
      <c r="I49" s="512"/>
    </row>
    <row r="50" spans="1:9" ht="23.25">
      <c r="A50" s="510">
        <v>2210000</v>
      </c>
      <c r="B50" s="133">
        <v>5700</v>
      </c>
      <c r="C50" s="594" t="s">
        <v>80</v>
      </c>
      <c r="D50" s="578"/>
      <c r="E50" s="595"/>
      <c r="F50" s="125">
        <v>500</v>
      </c>
      <c r="G50" s="133">
        <v>0</v>
      </c>
      <c r="I50" s="512"/>
    </row>
    <row r="51" spans="1:9" ht="23.25">
      <c r="A51" s="509">
        <v>80000</v>
      </c>
      <c r="B51" s="133">
        <f>G51</f>
        <v>0</v>
      </c>
      <c r="C51" s="93" t="s">
        <v>121</v>
      </c>
      <c r="D51" s="89"/>
      <c r="E51" s="94"/>
      <c r="F51" s="125">
        <v>550</v>
      </c>
      <c r="G51" s="133">
        <v>0</v>
      </c>
      <c r="I51" s="512"/>
    </row>
    <row r="52" spans="1:7" ht="24" thickBot="1">
      <c r="A52" s="149">
        <f>SUM(A41:A51)</f>
        <v>29000000</v>
      </c>
      <c r="B52" s="141">
        <f>SUM(B41:B51)</f>
        <v>14883686.490000002</v>
      </c>
      <c r="C52" s="596"/>
      <c r="D52" s="597"/>
      <c r="E52" s="598"/>
      <c r="F52" s="142"/>
      <c r="G52" s="141">
        <f>SUM(G41:G51)</f>
        <v>2212842.3200000003</v>
      </c>
    </row>
    <row r="53" spans="1:7" ht="24" thickTop="1">
      <c r="A53" s="28"/>
      <c r="B53" s="133">
        <f>G53+1029462</f>
        <v>1029462</v>
      </c>
      <c r="C53" s="594" t="s">
        <v>55</v>
      </c>
      <c r="D53" s="578"/>
      <c r="E53" s="595"/>
      <c r="F53" s="156">
        <v>600</v>
      </c>
      <c r="G53" s="133">
        <v>0</v>
      </c>
    </row>
    <row r="54" spans="1:7" ht="23.25">
      <c r="A54" s="28"/>
      <c r="B54" s="133">
        <f>G54+1355197.12</f>
        <v>1355197.12</v>
      </c>
      <c r="C54" s="93" t="s">
        <v>303</v>
      </c>
      <c r="D54" s="89"/>
      <c r="E54" s="89"/>
      <c r="F54" s="156"/>
      <c r="G54" s="133">
        <v>0</v>
      </c>
    </row>
    <row r="55" spans="1:9" ht="23.25">
      <c r="A55" s="28"/>
      <c r="B55" s="133">
        <f>G55+4568589.96</f>
        <v>6101808.24</v>
      </c>
      <c r="C55" s="93" t="s">
        <v>524</v>
      </c>
      <c r="D55" s="89"/>
      <c r="E55" s="89"/>
      <c r="F55" s="156"/>
      <c r="G55" s="133">
        <f>14030+9208.28+25980+1412000+72000</f>
        <v>1533218.28</v>
      </c>
      <c r="I55" s="138"/>
    </row>
    <row r="56" spans="1:9" ht="23.25">
      <c r="A56" s="28"/>
      <c r="B56" s="133">
        <f>G56</f>
        <v>0</v>
      </c>
      <c r="C56" s="93" t="s">
        <v>49</v>
      </c>
      <c r="D56" s="89"/>
      <c r="E56" s="89"/>
      <c r="F56" s="156">
        <v>700</v>
      </c>
      <c r="G56" s="133">
        <v>0</v>
      </c>
      <c r="I56" s="138"/>
    </row>
    <row r="57" spans="1:9" ht="23.25">
      <c r="A57" s="28"/>
      <c r="B57" s="133">
        <f>G57</f>
        <v>0</v>
      </c>
      <c r="C57" s="93" t="s">
        <v>281</v>
      </c>
      <c r="D57" s="89"/>
      <c r="E57" s="89"/>
      <c r="F57" s="156"/>
      <c r="G57" s="133">
        <v>0</v>
      </c>
      <c r="I57" s="138"/>
    </row>
    <row r="58" spans="1:9" ht="23.25">
      <c r="A58" s="28"/>
      <c r="B58" s="133">
        <f>G58+4315940</f>
        <v>5047640</v>
      </c>
      <c r="C58" s="108" t="s">
        <v>82</v>
      </c>
      <c r="F58" s="157">
        <v>704</v>
      </c>
      <c r="G58" s="133">
        <v>731700</v>
      </c>
      <c r="I58" s="138"/>
    </row>
    <row r="59" spans="1:8" ht="23.25">
      <c r="A59" s="28"/>
      <c r="B59" s="133">
        <f>G59+3021038</f>
        <v>3058770</v>
      </c>
      <c r="C59" s="594" t="s">
        <v>81</v>
      </c>
      <c r="D59" s="578"/>
      <c r="E59" s="595"/>
      <c r="F59" s="137" t="s">
        <v>57</v>
      </c>
      <c r="G59" s="133">
        <v>37732</v>
      </c>
      <c r="H59" s="49"/>
    </row>
    <row r="60" spans="1:9" ht="23.25">
      <c r="A60" s="28"/>
      <c r="B60" s="133">
        <f>G60+916803.3</f>
        <v>1449543.96</v>
      </c>
      <c r="C60" s="93" t="s">
        <v>50</v>
      </c>
      <c r="D60" s="89"/>
      <c r="E60" s="94"/>
      <c r="F60" s="158" t="s">
        <v>94</v>
      </c>
      <c r="G60" s="133">
        <f>3484.5+521000+8256.16</f>
        <v>532740.66</v>
      </c>
      <c r="H60" s="49"/>
      <c r="I60" s="411"/>
    </row>
    <row r="61" spans="1:7" ht="23.25">
      <c r="A61" s="28"/>
      <c r="B61" s="159">
        <f>SUM(B53:B60)</f>
        <v>18042421.32</v>
      </c>
      <c r="C61" s="580"/>
      <c r="D61" s="580"/>
      <c r="E61" s="580"/>
      <c r="F61" s="28"/>
      <c r="G61" s="159">
        <f>SUM(G53:G60)</f>
        <v>2835390.9400000004</v>
      </c>
    </row>
    <row r="62" spans="1:8" ht="23.25">
      <c r="A62" s="146"/>
      <c r="B62" s="159">
        <f>SUM(B52+B61)</f>
        <v>32926107.810000002</v>
      </c>
      <c r="C62" s="579" t="s">
        <v>90</v>
      </c>
      <c r="D62" s="580"/>
      <c r="E62" s="580"/>
      <c r="F62" s="581"/>
      <c r="G62" s="159">
        <f>G52+G61</f>
        <v>5048233.260000001</v>
      </c>
      <c r="H62" s="138"/>
    </row>
    <row r="63" spans="1:7" ht="23.25">
      <c r="A63" s="28"/>
      <c r="B63" s="133">
        <f>+B25-B62</f>
        <v>9248649.559999995</v>
      </c>
      <c r="C63" s="579" t="s">
        <v>91</v>
      </c>
      <c r="D63" s="580"/>
      <c r="E63" s="580"/>
      <c r="F63" s="581"/>
      <c r="G63" s="133"/>
    </row>
    <row r="64" spans="1:7" ht="23.25">
      <c r="A64" s="160"/>
      <c r="B64" s="133"/>
      <c r="C64" s="27" t="s">
        <v>110</v>
      </c>
      <c r="D64" s="28"/>
      <c r="E64" s="28"/>
      <c r="F64" s="28" t="s">
        <v>78</v>
      </c>
      <c r="G64" s="133"/>
    </row>
    <row r="65" spans="1:7" ht="23.25">
      <c r="A65" s="161"/>
      <c r="B65" s="133"/>
      <c r="C65" s="579" t="s">
        <v>95</v>
      </c>
      <c r="D65" s="580"/>
      <c r="E65" s="580"/>
      <c r="F65" s="581"/>
      <c r="G65" s="133">
        <f>+G62-G25</f>
        <v>552599.2400000012</v>
      </c>
    </row>
    <row r="66" spans="1:9" ht="24" thickBot="1">
      <c r="A66" s="162"/>
      <c r="B66" s="141">
        <f>B9+B63</f>
        <v>37197090.92999999</v>
      </c>
      <c r="C66" s="579" t="s">
        <v>83</v>
      </c>
      <c r="D66" s="580"/>
      <c r="E66" s="580"/>
      <c r="F66" s="581"/>
      <c r="G66" s="141">
        <f>G9-G65</f>
        <v>37197090.93</v>
      </c>
      <c r="I66" s="138">
        <f>G66-งบทดลอง1!H15</f>
        <v>0</v>
      </c>
    </row>
    <row r="67" spans="1:9" ht="24" thickTop="1">
      <c r="A67" s="162"/>
      <c r="B67" s="163"/>
      <c r="C67" s="28"/>
      <c r="D67" s="28"/>
      <c r="E67" s="28"/>
      <c r="F67" s="28"/>
      <c r="G67" s="163"/>
      <c r="I67" s="34">
        <f>+B66-G66</f>
        <v>0</v>
      </c>
    </row>
    <row r="68" spans="1:7" ht="23.25">
      <c r="A68" s="121"/>
      <c r="B68" s="163"/>
      <c r="C68" s="340">
        <f>B66-G66</f>
        <v>0</v>
      </c>
      <c r="D68" s="28"/>
      <c r="E68" s="28"/>
      <c r="F68" s="28"/>
      <c r="G68" s="163"/>
    </row>
    <row r="69" spans="1:7" ht="23.25">
      <c r="A69" s="27"/>
      <c r="B69" s="27"/>
      <c r="C69" s="27"/>
      <c r="D69" s="27"/>
      <c r="E69" s="27"/>
      <c r="F69" s="28"/>
      <c r="G69" s="164"/>
    </row>
    <row r="70" spans="1:7" ht="23.25">
      <c r="A70" s="27"/>
      <c r="B70" s="27"/>
      <c r="C70" s="27"/>
      <c r="D70" s="27"/>
      <c r="E70" s="27"/>
      <c r="F70" s="27"/>
      <c r="G70" s="165"/>
    </row>
    <row r="71" spans="1:7" ht="23.25">
      <c r="A71" s="27"/>
      <c r="B71" s="27"/>
      <c r="C71" s="27"/>
      <c r="D71" s="27"/>
      <c r="E71" s="27"/>
      <c r="F71" s="27"/>
      <c r="G71" s="27"/>
    </row>
    <row r="72" spans="1:7" ht="23.25">
      <c r="A72" s="28"/>
      <c r="B72" s="28"/>
      <c r="C72" s="28"/>
      <c r="D72" s="28"/>
      <c r="E72" s="28"/>
      <c r="F72" s="28"/>
      <c r="G72" s="28"/>
    </row>
    <row r="73" spans="1:7" ht="23.25">
      <c r="A73" s="28"/>
      <c r="B73" s="28"/>
      <c r="C73" s="28"/>
      <c r="D73" s="28"/>
      <c r="E73" s="28"/>
      <c r="F73" s="28"/>
      <c r="G73" s="28"/>
    </row>
    <row r="74" spans="1:7" ht="23.25">
      <c r="A74" s="28"/>
      <c r="B74" s="268">
        <f>G66-B66</f>
        <v>0</v>
      </c>
      <c r="C74" s="28"/>
      <c r="D74" s="28"/>
      <c r="E74" s="28"/>
      <c r="F74" s="28"/>
      <c r="G74" s="28"/>
    </row>
  </sheetData>
  <sheetProtection/>
  <mergeCells count="41">
    <mergeCell ref="A3:G3"/>
    <mergeCell ref="A6:B6"/>
    <mergeCell ref="C6:E8"/>
    <mergeCell ref="F6:F8"/>
    <mergeCell ref="C9:E9"/>
    <mergeCell ref="C10:E10"/>
    <mergeCell ref="C17:E17"/>
    <mergeCell ref="C25:E25"/>
    <mergeCell ref="C23:E23"/>
    <mergeCell ref="C32:E32"/>
    <mergeCell ref="C13:E13"/>
    <mergeCell ref="C16:E16"/>
    <mergeCell ref="C15:E15"/>
    <mergeCell ref="C11:E11"/>
    <mergeCell ref="C45:E45"/>
    <mergeCell ref="C52:E52"/>
    <mergeCell ref="C26:E26"/>
    <mergeCell ref="C42:E42"/>
    <mergeCell ref="C24:E24"/>
    <mergeCell ref="C14:E14"/>
    <mergeCell ref="C40:E40"/>
    <mergeCell ref="C48:E48"/>
    <mergeCell ref="C12:E12"/>
    <mergeCell ref="C46:E46"/>
    <mergeCell ref="C21:E21"/>
    <mergeCell ref="C53:E53"/>
    <mergeCell ref="C43:E43"/>
    <mergeCell ref="C62:F62"/>
    <mergeCell ref="C59:E59"/>
    <mergeCell ref="F37:F39"/>
    <mergeCell ref="C61:E61"/>
    <mergeCell ref="C66:F66"/>
    <mergeCell ref="A36:G36"/>
    <mergeCell ref="A37:B37"/>
    <mergeCell ref="C37:E39"/>
    <mergeCell ref="C44:E44"/>
    <mergeCell ref="C41:E41"/>
    <mergeCell ref="C50:E50"/>
    <mergeCell ref="C63:F63"/>
    <mergeCell ref="C47:E47"/>
    <mergeCell ref="C65:F65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91">
      <selection activeCell="A94" sqref="A94:IV94"/>
    </sheetView>
  </sheetViews>
  <sheetFormatPr defaultColWidth="9.140625" defaultRowHeight="21.75"/>
  <cols>
    <col min="1" max="1" width="54.57421875" style="0" customWidth="1"/>
    <col min="3" max="4" width="13.00390625" style="0" customWidth="1"/>
  </cols>
  <sheetData>
    <row r="1" spans="1:4" ht="23.25">
      <c r="A1" s="691" t="s">
        <v>345</v>
      </c>
      <c r="B1" s="691"/>
      <c r="C1" s="691"/>
      <c r="D1" s="691"/>
    </row>
    <row r="2" spans="1:4" ht="23.25">
      <c r="A2" s="691" t="s">
        <v>346</v>
      </c>
      <c r="B2" s="691"/>
      <c r="C2" s="691"/>
      <c r="D2" s="691"/>
    </row>
    <row r="3" spans="1:4" ht="23.25">
      <c r="A3" s="692" t="s">
        <v>320</v>
      </c>
      <c r="B3" s="692"/>
      <c r="C3" s="692"/>
      <c r="D3" s="692"/>
    </row>
    <row r="4" spans="1:4" ht="23.25">
      <c r="A4" s="343" t="s">
        <v>312</v>
      </c>
      <c r="B4" s="343"/>
      <c r="C4" s="343"/>
      <c r="D4" s="343"/>
    </row>
    <row r="5" spans="1:4" ht="23.25">
      <c r="A5" s="345" t="s">
        <v>36</v>
      </c>
      <c r="B5" s="425" t="s">
        <v>35</v>
      </c>
      <c r="C5" s="346" t="s">
        <v>313</v>
      </c>
      <c r="D5" s="40" t="s">
        <v>38</v>
      </c>
    </row>
    <row r="6" spans="1:4" ht="23.25">
      <c r="A6" s="183" t="s">
        <v>49</v>
      </c>
      <c r="B6" s="426" t="s">
        <v>347</v>
      </c>
      <c r="C6" s="427">
        <v>73657.38</v>
      </c>
      <c r="D6" s="37"/>
    </row>
    <row r="7" spans="1:4" ht="23.25">
      <c r="A7" s="428" t="s">
        <v>41</v>
      </c>
      <c r="B7" s="347"/>
      <c r="C7" s="429"/>
      <c r="D7" s="430">
        <f>C6</f>
        <v>73657.38</v>
      </c>
    </row>
    <row r="8" spans="1:4" ht="23.25">
      <c r="A8" s="183"/>
      <c r="B8" s="347"/>
      <c r="C8" s="429"/>
      <c r="D8" s="431"/>
    </row>
    <row r="9" spans="1:4" ht="23.25">
      <c r="A9" s="183"/>
      <c r="B9" s="347"/>
      <c r="C9" s="431"/>
      <c r="D9" s="431"/>
    </row>
    <row r="10" spans="1:4" ht="23.25">
      <c r="A10" s="183"/>
      <c r="B10" s="347"/>
      <c r="C10" s="431"/>
      <c r="D10" s="431"/>
    </row>
    <row r="11" spans="1:4" ht="23.25">
      <c r="A11" s="183"/>
      <c r="B11" s="347"/>
      <c r="C11" s="431"/>
      <c r="D11" s="431"/>
    </row>
    <row r="12" spans="1:4" ht="23.25">
      <c r="A12" s="200"/>
      <c r="B12" s="347"/>
      <c r="C12" s="429"/>
      <c r="D12" s="431"/>
    </row>
    <row r="13" spans="1:4" ht="23.25">
      <c r="A13" s="183"/>
      <c r="B13" s="347"/>
      <c r="C13" s="429"/>
      <c r="D13" s="431"/>
    </row>
    <row r="14" spans="1:4" ht="23.25">
      <c r="A14" s="183"/>
      <c r="B14" s="347"/>
      <c r="C14" s="429"/>
      <c r="D14" s="431"/>
    </row>
    <row r="15" spans="1:4" ht="23.25">
      <c r="A15" s="39"/>
      <c r="B15" s="432"/>
      <c r="C15" s="433"/>
      <c r="D15" s="433"/>
    </row>
    <row r="16" spans="1:4" ht="23.25">
      <c r="A16" s="355" t="s">
        <v>348</v>
      </c>
      <c r="B16" s="434"/>
      <c r="C16" s="47"/>
      <c r="D16" s="435"/>
    </row>
    <row r="17" spans="1:4" ht="23.25">
      <c r="A17" s="693" t="s">
        <v>349</v>
      </c>
      <c r="B17" s="694"/>
      <c r="C17" s="694"/>
      <c r="D17" s="694"/>
    </row>
    <row r="18" spans="1:4" ht="23.25">
      <c r="A18" s="198"/>
      <c r="B18" s="434"/>
      <c r="C18" s="47"/>
      <c r="D18" s="435"/>
    </row>
    <row r="19" spans="1:4" ht="23.25">
      <c r="A19" s="436"/>
      <c r="B19" s="434"/>
      <c r="C19" s="47"/>
      <c r="D19" s="435"/>
    </row>
    <row r="20" spans="1:4" ht="23.25">
      <c r="A20" s="436"/>
      <c r="B20" s="434"/>
      <c r="C20" s="47"/>
      <c r="D20" s="435"/>
    </row>
    <row r="21" spans="1:4" ht="23.25">
      <c r="A21" s="436"/>
      <c r="B21" s="434"/>
      <c r="C21" s="47"/>
      <c r="D21" s="435"/>
    </row>
    <row r="22" spans="1:4" ht="23.25">
      <c r="A22" s="436"/>
      <c r="B22" s="434"/>
      <c r="C22" s="47"/>
      <c r="D22" s="435"/>
    </row>
    <row r="23" spans="1:4" ht="23.25">
      <c r="A23" s="198" t="s">
        <v>322</v>
      </c>
      <c r="B23" s="47"/>
      <c r="C23" s="47"/>
      <c r="D23" s="47"/>
    </row>
    <row r="24" spans="1:4" ht="23.25">
      <c r="A24" s="198"/>
      <c r="B24" s="47"/>
      <c r="C24" s="47"/>
      <c r="D24" s="47"/>
    </row>
    <row r="25" spans="1:4" ht="23.25">
      <c r="A25" s="695"/>
      <c r="B25" s="696"/>
      <c r="C25" s="696"/>
      <c r="D25" s="696"/>
    </row>
    <row r="26" spans="1:4" ht="23.25">
      <c r="A26" s="198"/>
      <c r="B26" s="434"/>
      <c r="C26" s="47"/>
      <c r="D26" s="435"/>
    </row>
    <row r="27" spans="1:4" ht="23.25">
      <c r="A27" s="363"/>
      <c r="B27" s="364"/>
      <c r="C27" s="364"/>
      <c r="D27" s="364"/>
    </row>
    <row r="28" spans="1:4" ht="23.25">
      <c r="A28" s="47"/>
      <c r="B28" s="47"/>
      <c r="C28" s="47"/>
      <c r="D28" s="47"/>
    </row>
    <row r="29" spans="1:4" ht="23.25">
      <c r="A29" s="47"/>
      <c r="B29" s="47"/>
      <c r="C29" s="47"/>
      <c r="D29" s="47"/>
    </row>
    <row r="30" spans="1:4" ht="23.25">
      <c r="A30" s="47"/>
      <c r="B30" s="47"/>
      <c r="C30" s="47"/>
      <c r="D30" s="47"/>
    </row>
    <row r="31" spans="1:4" ht="23.25">
      <c r="A31" s="47"/>
      <c r="B31" s="47"/>
      <c r="C31" s="47"/>
      <c r="D31" s="47"/>
    </row>
    <row r="32" spans="1:4" ht="23.25">
      <c r="A32" s="47"/>
      <c r="B32" s="47"/>
      <c r="C32" s="47"/>
      <c r="D32" s="47"/>
    </row>
    <row r="33" spans="1:4" ht="23.25">
      <c r="A33" s="691" t="s">
        <v>345</v>
      </c>
      <c r="B33" s="691"/>
      <c r="C33" s="691"/>
      <c r="D33" s="691"/>
    </row>
    <row r="34" spans="1:4" ht="23.25">
      <c r="A34" s="691" t="s">
        <v>346</v>
      </c>
      <c r="B34" s="691"/>
      <c r="C34" s="691"/>
      <c r="D34" s="691"/>
    </row>
    <row r="35" spans="1:4" ht="23.25">
      <c r="A35" s="692" t="s">
        <v>320</v>
      </c>
      <c r="B35" s="692"/>
      <c r="C35" s="692"/>
      <c r="D35" s="692"/>
    </row>
    <row r="36" spans="1:4" ht="23.25">
      <c r="A36" s="343" t="s">
        <v>312</v>
      </c>
      <c r="B36" s="343"/>
      <c r="C36" s="343"/>
      <c r="D36" s="343"/>
    </row>
    <row r="37" spans="1:4" ht="23.25">
      <c r="A37" s="345" t="s">
        <v>36</v>
      </c>
      <c r="B37" s="425" t="s">
        <v>35</v>
      </c>
      <c r="C37" s="346" t="s">
        <v>313</v>
      </c>
      <c r="D37" s="40" t="s">
        <v>38</v>
      </c>
    </row>
    <row r="38" spans="1:4" ht="23.25">
      <c r="A38" s="183" t="s">
        <v>41</v>
      </c>
      <c r="B38" s="426"/>
      <c r="C38" s="427">
        <v>70900.69</v>
      </c>
      <c r="D38" s="37"/>
    </row>
    <row r="39" spans="1:4" ht="23.25">
      <c r="A39" s="437" t="s">
        <v>49</v>
      </c>
      <c r="B39" s="347"/>
      <c r="C39" s="348"/>
      <c r="D39" s="430">
        <f>C38</f>
        <v>70900.69</v>
      </c>
    </row>
    <row r="40" spans="1:4" ht="23.25">
      <c r="A40" s="183"/>
      <c r="B40" s="347"/>
      <c r="C40" s="348"/>
      <c r="D40" s="431"/>
    </row>
    <row r="41" spans="1:4" ht="23.25">
      <c r="A41" s="183"/>
      <c r="B41" s="347"/>
      <c r="C41" s="430"/>
      <c r="D41" s="438"/>
    </row>
    <row r="42" spans="1:4" ht="23.25">
      <c r="A42" s="200"/>
      <c r="B42" s="347"/>
      <c r="C42" s="430"/>
      <c r="D42" s="430"/>
    </row>
    <row r="43" spans="1:4" ht="23.25">
      <c r="A43" s="183"/>
      <c r="B43" s="347"/>
      <c r="C43" s="430"/>
      <c r="D43" s="438"/>
    </row>
    <row r="44" spans="1:4" ht="23.25">
      <c r="A44" s="183"/>
      <c r="B44" s="347"/>
      <c r="C44" s="430"/>
      <c r="D44" s="348"/>
    </row>
    <row r="45" spans="1:4" ht="23.25">
      <c r="A45" s="437"/>
      <c r="B45" s="347"/>
      <c r="C45" s="183"/>
      <c r="D45" s="430"/>
    </row>
    <row r="46" spans="1:4" ht="23.25">
      <c r="A46" s="183"/>
      <c r="B46" s="347"/>
      <c r="C46" s="183"/>
      <c r="D46" s="429"/>
    </row>
    <row r="47" spans="1:4" ht="23.25">
      <c r="A47" s="363"/>
      <c r="B47" s="432"/>
      <c r="C47" s="439"/>
      <c r="D47" s="433"/>
    </row>
    <row r="48" spans="1:4" ht="23.25">
      <c r="A48" s="355" t="s">
        <v>348</v>
      </c>
      <c r="B48" s="434"/>
      <c r="C48" s="47"/>
      <c r="D48" s="435"/>
    </row>
    <row r="49" spans="1:4" ht="23.25">
      <c r="A49" s="440" t="s">
        <v>350</v>
      </c>
      <c r="B49" s="441"/>
      <c r="C49" s="442"/>
      <c r="D49" s="442"/>
    </row>
    <row r="50" spans="1:4" ht="23.25">
      <c r="A50" s="443"/>
      <c r="B50" s="441"/>
      <c r="C50" s="47"/>
      <c r="D50" s="435"/>
    </row>
    <row r="51" spans="1:4" ht="23.25">
      <c r="A51" s="440"/>
      <c r="B51" s="441"/>
      <c r="C51" s="47"/>
      <c r="D51" s="435"/>
    </row>
    <row r="52" spans="1:4" ht="23.25">
      <c r="A52" s="436"/>
      <c r="B52" s="434"/>
      <c r="C52" s="47"/>
      <c r="D52" s="435"/>
    </row>
    <row r="53" spans="1:4" ht="23.25">
      <c r="A53" s="436"/>
      <c r="B53" s="434"/>
      <c r="C53" s="47"/>
      <c r="D53" s="435"/>
    </row>
    <row r="54" spans="1:4" ht="23.25">
      <c r="A54" s="436"/>
      <c r="B54" s="434"/>
      <c r="C54" s="47"/>
      <c r="D54" s="435"/>
    </row>
    <row r="55" spans="1:4" ht="23.25">
      <c r="A55" s="198" t="s">
        <v>322</v>
      </c>
      <c r="B55" s="47"/>
      <c r="C55" s="47"/>
      <c r="D55" s="47"/>
    </row>
    <row r="56" spans="1:4" ht="23.25">
      <c r="A56" s="198"/>
      <c r="B56" s="47"/>
      <c r="C56" s="47"/>
      <c r="D56" s="47"/>
    </row>
    <row r="57" spans="1:4" ht="23.25">
      <c r="A57" s="695"/>
      <c r="B57" s="696"/>
      <c r="C57" s="696"/>
      <c r="D57" s="696"/>
    </row>
    <row r="58" spans="1:4" ht="23.25">
      <c r="A58" s="198"/>
      <c r="B58" s="434"/>
      <c r="C58" s="47"/>
      <c r="D58" s="435"/>
    </row>
    <row r="59" spans="1:4" ht="23.25">
      <c r="A59" s="363"/>
      <c r="B59" s="364"/>
      <c r="C59" s="364"/>
      <c r="D59" s="364"/>
    </row>
    <row r="60" spans="1:4" ht="23.25">
      <c r="A60" s="47"/>
      <c r="B60" s="47"/>
      <c r="C60" s="47"/>
      <c r="D60" s="47"/>
    </row>
    <row r="61" spans="1:4" ht="23.25">
      <c r="A61" s="47"/>
      <c r="B61" s="47"/>
      <c r="C61" s="47"/>
      <c r="D61" s="47"/>
    </row>
    <row r="62" spans="1:4" ht="23.25">
      <c r="A62" s="47"/>
      <c r="B62" s="47"/>
      <c r="C62" s="47"/>
      <c r="D62" s="47"/>
    </row>
    <row r="63" spans="1:4" ht="23.25">
      <c r="A63" s="47"/>
      <c r="B63" s="47"/>
      <c r="C63" s="47"/>
      <c r="D63" s="47"/>
    </row>
    <row r="64" spans="1:4" ht="23.25">
      <c r="A64" s="47"/>
      <c r="B64" s="47"/>
      <c r="C64" s="47"/>
      <c r="D64" s="47"/>
    </row>
    <row r="65" spans="1:4" ht="23.25">
      <c r="A65" s="691" t="s">
        <v>345</v>
      </c>
      <c r="B65" s="691"/>
      <c r="C65" s="691"/>
      <c r="D65" s="691"/>
    </row>
    <row r="66" spans="1:4" ht="23.25">
      <c r="A66" s="691" t="s">
        <v>346</v>
      </c>
      <c r="B66" s="691"/>
      <c r="C66" s="691"/>
      <c r="D66" s="691"/>
    </row>
    <row r="67" spans="1:4" ht="23.25">
      <c r="A67" s="692" t="s">
        <v>320</v>
      </c>
      <c r="B67" s="692"/>
      <c r="C67" s="692"/>
      <c r="D67" s="692"/>
    </row>
    <row r="68" spans="1:4" ht="23.25">
      <c r="A68" s="343" t="s">
        <v>312</v>
      </c>
      <c r="B68" s="343"/>
      <c r="C68" s="343"/>
      <c r="D68" s="343"/>
    </row>
    <row r="69" spans="1:4" ht="23.25">
      <c r="A69" s="345" t="s">
        <v>36</v>
      </c>
      <c r="B69" s="425" t="s">
        <v>35</v>
      </c>
      <c r="C69" s="346" t="s">
        <v>313</v>
      </c>
      <c r="D69" s="40" t="s">
        <v>38</v>
      </c>
    </row>
    <row r="70" spans="1:4" ht="23.25">
      <c r="A70" s="183" t="s">
        <v>43</v>
      </c>
      <c r="B70" s="426" t="s">
        <v>351</v>
      </c>
      <c r="C70" s="427">
        <v>1210000</v>
      </c>
      <c r="D70" s="37"/>
    </row>
    <row r="71" spans="1:4" ht="23.25">
      <c r="A71" s="200" t="s">
        <v>48</v>
      </c>
      <c r="B71" s="347" t="s">
        <v>323</v>
      </c>
      <c r="C71" s="348">
        <v>9780</v>
      </c>
      <c r="D71" s="430"/>
    </row>
    <row r="72" spans="1:4" ht="23.25">
      <c r="A72" s="183" t="s">
        <v>48</v>
      </c>
      <c r="B72" s="347" t="s">
        <v>324</v>
      </c>
      <c r="C72" s="348">
        <v>214900</v>
      </c>
      <c r="D72" s="431"/>
    </row>
    <row r="73" spans="1:4" ht="23.25">
      <c r="A73" s="183" t="s">
        <v>44</v>
      </c>
      <c r="B73" s="347" t="s">
        <v>337</v>
      </c>
      <c r="C73" s="430">
        <v>357</v>
      </c>
      <c r="D73" s="438"/>
    </row>
    <row r="74" spans="1:4" ht="23.25">
      <c r="A74" s="200" t="s">
        <v>44</v>
      </c>
      <c r="B74" s="347" t="s">
        <v>326</v>
      </c>
      <c r="C74" s="430">
        <v>31996</v>
      </c>
      <c r="D74" s="430"/>
    </row>
    <row r="75" spans="1:4" ht="23.25">
      <c r="A75" s="183" t="s">
        <v>45</v>
      </c>
      <c r="B75" s="347" t="s">
        <v>352</v>
      </c>
      <c r="C75" s="430">
        <v>19500</v>
      </c>
      <c r="D75" s="438"/>
    </row>
    <row r="76" spans="1:4" ht="23.25">
      <c r="A76" s="183" t="s">
        <v>45</v>
      </c>
      <c r="B76" s="347" t="s">
        <v>353</v>
      </c>
      <c r="C76" s="430">
        <v>153569.88</v>
      </c>
      <c r="D76" s="348"/>
    </row>
    <row r="77" spans="1:4" ht="23.25">
      <c r="A77" s="437" t="s">
        <v>303</v>
      </c>
      <c r="B77" s="347"/>
      <c r="C77" s="183"/>
      <c r="D77" s="430">
        <f>C70</f>
        <v>1210000</v>
      </c>
    </row>
    <row r="78" spans="1:4" ht="23.25">
      <c r="A78" s="437" t="s">
        <v>354</v>
      </c>
      <c r="B78" s="347"/>
      <c r="C78" s="183"/>
      <c r="D78" s="444">
        <f>C71+C72+C73+C74+C75+C76</f>
        <v>430102.88</v>
      </c>
    </row>
    <row r="79" spans="1:4" ht="23.25">
      <c r="A79" s="363"/>
      <c r="B79" s="432"/>
      <c r="C79" s="445">
        <f>SUM(C70:C78)</f>
        <v>1640102.88</v>
      </c>
      <c r="D79" s="446">
        <f>SUM(D77:D78)</f>
        <v>1640102.88</v>
      </c>
    </row>
    <row r="80" spans="1:4" ht="23.25">
      <c r="A80" s="355" t="s">
        <v>348</v>
      </c>
      <c r="B80" s="434"/>
      <c r="C80" s="47"/>
      <c r="D80" s="435"/>
    </row>
    <row r="81" spans="1:4" ht="23.25">
      <c r="A81" s="697" t="s">
        <v>355</v>
      </c>
      <c r="B81" s="698"/>
      <c r="C81" s="698"/>
      <c r="D81" s="698"/>
    </row>
    <row r="82" spans="1:4" ht="23.25">
      <c r="A82" s="199" t="s">
        <v>356</v>
      </c>
      <c r="B82" s="434"/>
      <c r="C82" s="47"/>
      <c r="D82" s="435"/>
    </row>
    <row r="83" spans="1:4" ht="23.25">
      <c r="A83" s="199" t="s">
        <v>357</v>
      </c>
      <c r="B83" s="434"/>
      <c r="C83" s="47"/>
      <c r="D83" s="435"/>
    </row>
    <row r="84" spans="1:4" ht="23.25">
      <c r="A84" s="199" t="s">
        <v>358</v>
      </c>
      <c r="B84" s="434"/>
      <c r="C84" s="47"/>
      <c r="D84" s="435"/>
    </row>
    <row r="85" spans="1:4" ht="23.25">
      <c r="A85" s="436"/>
      <c r="B85" s="434"/>
      <c r="C85" s="47"/>
      <c r="D85" s="435"/>
    </row>
    <row r="86" spans="1:4" ht="23.25">
      <c r="A86" s="436"/>
      <c r="B86" s="434"/>
      <c r="C86" s="47"/>
      <c r="D86" s="435"/>
    </row>
    <row r="87" spans="1:4" ht="23.25">
      <c r="A87" s="198" t="s">
        <v>322</v>
      </c>
      <c r="B87" s="47"/>
      <c r="C87" s="47"/>
      <c r="D87" s="47"/>
    </row>
    <row r="88" spans="1:4" ht="23.25">
      <c r="A88" s="198"/>
      <c r="B88" s="47"/>
      <c r="C88" s="47"/>
      <c r="D88" s="47"/>
    </row>
    <row r="89" spans="1:4" ht="23.25">
      <c r="A89" s="695"/>
      <c r="B89" s="696"/>
      <c r="C89" s="696"/>
      <c r="D89" s="696"/>
    </row>
    <row r="90" spans="1:4" ht="23.25">
      <c r="A90" s="198"/>
      <c r="B90" s="434"/>
      <c r="C90" s="47"/>
      <c r="D90" s="435"/>
    </row>
    <row r="91" spans="1:4" ht="23.25">
      <c r="A91" s="363"/>
      <c r="B91" s="364"/>
      <c r="C91" s="364"/>
      <c r="D91" s="364"/>
    </row>
    <row r="92" spans="1:4" ht="23.25">
      <c r="A92" s="344"/>
      <c r="B92" s="344"/>
      <c r="C92" s="344"/>
      <c r="D92" s="344"/>
    </row>
    <row r="93" spans="1:4" ht="23.25">
      <c r="A93" s="344"/>
      <c r="B93" s="344"/>
      <c r="C93" s="344"/>
      <c r="D93" s="344"/>
    </row>
    <row r="94" spans="1:4" ht="23.25">
      <c r="A94" s="344"/>
      <c r="B94" s="344"/>
      <c r="C94" s="344"/>
      <c r="D94" s="344"/>
    </row>
    <row r="95" spans="1:4" ht="23.25">
      <c r="A95" s="344"/>
      <c r="B95" s="344"/>
      <c r="C95" s="344"/>
      <c r="D95" s="344"/>
    </row>
    <row r="96" spans="1:4" ht="23.25">
      <c r="A96" s="344"/>
      <c r="B96" s="344"/>
      <c r="C96" s="344"/>
      <c r="D96" s="344"/>
    </row>
    <row r="97" spans="1:4" ht="23.25">
      <c r="A97" s="691" t="s">
        <v>345</v>
      </c>
      <c r="B97" s="691"/>
      <c r="C97" s="691"/>
      <c r="D97" s="691"/>
    </row>
    <row r="98" spans="1:4" ht="23.25">
      <c r="A98" s="691" t="s">
        <v>346</v>
      </c>
      <c r="B98" s="691"/>
      <c r="C98" s="691"/>
      <c r="D98" s="691"/>
    </row>
    <row r="99" spans="1:4" ht="23.25">
      <c r="A99" s="692" t="s">
        <v>320</v>
      </c>
      <c r="B99" s="692"/>
      <c r="C99" s="692"/>
      <c r="D99" s="692"/>
    </row>
    <row r="100" spans="1:4" ht="23.25">
      <c r="A100" s="343" t="s">
        <v>312</v>
      </c>
      <c r="B100" s="343"/>
      <c r="C100" s="343"/>
      <c r="D100" s="343"/>
    </row>
    <row r="101" spans="1:4" ht="23.25">
      <c r="A101" s="345" t="s">
        <v>36</v>
      </c>
      <c r="B101" s="425" t="s">
        <v>35</v>
      </c>
      <c r="C101" s="345" t="s">
        <v>313</v>
      </c>
      <c r="D101" s="40" t="s">
        <v>38</v>
      </c>
    </row>
    <row r="102" spans="1:4" ht="23.25">
      <c r="A102" s="183" t="s">
        <v>110</v>
      </c>
      <c r="B102" s="426"/>
      <c r="C102" s="427">
        <v>25564197.35</v>
      </c>
      <c r="D102" s="37"/>
    </row>
    <row r="103" spans="1:4" ht="23.25">
      <c r="A103" s="437" t="s">
        <v>78</v>
      </c>
      <c r="B103" s="347"/>
      <c r="C103" s="348"/>
      <c r="D103" s="447">
        <v>22095429.65</v>
      </c>
    </row>
    <row r="104" spans="1:4" ht="23.25">
      <c r="A104" s="437" t="s">
        <v>281</v>
      </c>
      <c r="B104" s="347"/>
      <c r="C104" s="348"/>
      <c r="D104" s="447">
        <f>(C102-D103)*25/100</f>
        <v>867191.9250000007</v>
      </c>
    </row>
    <row r="105" spans="1:4" ht="23.25">
      <c r="A105" s="437" t="s">
        <v>49</v>
      </c>
      <c r="B105" s="347"/>
      <c r="C105" s="430"/>
      <c r="D105" s="447">
        <v>2601575.77</v>
      </c>
    </row>
    <row r="106" spans="1:4" ht="23.25">
      <c r="A106" s="200"/>
      <c r="B106" s="347"/>
      <c r="C106" s="430"/>
      <c r="D106" s="430"/>
    </row>
    <row r="107" spans="1:4" ht="23.25">
      <c r="A107" s="183"/>
      <c r="B107" s="347"/>
      <c r="C107" s="430"/>
      <c r="D107" s="438"/>
    </row>
    <row r="108" spans="1:4" ht="23.25">
      <c r="A108" s="183"/>
      <c r="B108" s="347"/>
      <c r="C108" s="448">
        <f>SUM(C102:C107)</f>
        <v>25564197.35</v>
      </c>
      <c r="D108" s="449">
        <f>SUM(D103:D107)</f>
        <v>25564197.345</v>
      </c>
    </row>
    <row r="109" spans="1:4" ht="23.25">
      <c r="A109" s="437"/>
      <c r="B109" s="347"/>
      <c r="C109" s="183"/>
      <c r="D109" s="430"/>
    </row>
    <row r="110" spans="1:4" ht="23.25">
      <c r="A110" s="183"/>
      <c r="B110" s="347"/>
      <c r="C110" s="183"/>
      <c r="D110" s="429"/>
    </row>
    <row r="111" spans="1:4" ht="23.25">
      <c r="A111" s="363"/>
      <c r="B111" s="432"/>
      <c r="C111" s="439"/>
      <c r="D111" s="433"/>
    </row>
    <row r="112" spans="1:4" ht="23.25">
      <c r="A112" s="355" t="s">
        <v>348</v>
      </c>
      <c r="B112" s="434"/>
      <c r="C112" s="47"/>
      <c r="D112" s="435"/>
    </row>
    <row r="113" spans="1:4" ht="23.25">
      <c r="A113" s="440" t="s">
        <v>359</v>
      </c>
      <c r="B113" s="441"/>
      <c r="C113" s="442"/>
      <c r="D113" s="442"/>
    </row>
    <row r="114" spans="1:4" ht="23.25">
      <c r="A114" s="199" t="s">
        <v>360</v>
      </c>
      <c r="B114" s="441"/>
      <c r="C114" s="47"/>
      <c r="D114" s="435"/>
    </row>
    <row r="115" spans="1:4" ht="23.25">
      <c r="A115" s="199"/>
      <c r="B115" s="441"/>
      <c r="C115" s="47"/>
      <c r="D115" s="435"/>
    </row>
    <row r="116" spans="1:4" ht="23.25">
      <c r="A116" s="436"/>
      <c r="B116" s="434"/>
      <c r="C116" s="47"/>
      <c r="D116" s="435"/>
    </row>
    <row r="117" spans="1:4" ht="23.25">
      <c r="A117" s="436"/>
      <c r="B117" s="434"/>
      <c r="C117" s="47"/>
      <c r="D117" s="435"/>
    </row>
    <row r="118" spans="1:4" ht="23.25">
      <c r="A118" s="436"/>
      <c r="B118" s="434"/>
      <c r="C118" s="47"/>
      <c r="D118" s="435"/>
    </row>
    <row r="119" spans="1:4" ht="23.25">
      <c r="A119" s="198" t="s">
        <v>322</v>
      </c>
      <c r="B119" s="47"/>
      <c r="C119" s="47"/>
      <c r="D119" s="47"/>
    </row>
    <row r="120" spans="1:4" ht="23.25">
      <c r="A120" s="198"/>
      <c r="B120" s="47"/>
      <c r="C120" s="47"/>
      <c r="D120" s="47"/>
    </row>
    <row r="121" spans="1:4" ht="23.25">
      <c r="A121" s="695"/>
      <c r="B121" s="696"/>
      <c r="C121" s="696"/>
      <c r="D121" s="696"/>
    </row>
    <row r="122" spans="1:4" ht="23.25">
      <c r="A122" s="198"/>
      <c r="B122" s="434"/>
      <c r="C122" s="47"/>
      <c r="D122" s="435"/>
    </row>
    <row r="123" spans="1:4" ht="23.25">
      <c r="A123" s="363"/>
      <c r="B123" s="364"/>
      <c r="C123" s="364"/>
      <c r="D123" s="364"/>
    </row>
  </sheetData>
  <sheetProtection/>
  <mergeCells count="18">
    <mergeCell ref="A99:D99"/>
    <mergeCell ref="A121:D121"/>
    <mergeCell ref="A81:D81"/>
    <mergeCell ref="A89:D89"/>
    <mergeCell ref="A97:D97"/>
    <mergeCell ref="A98:D98"/>
    <mergeCell ref="A66:D66"/>
    <mergeCell ref="A67:D67"/>
    <mergeCell ref="A25:D25"/>
    <mergeCell ref="A33:D33"/>
    <mergeCell ref="A34:D34"/>
    <mergeCell ref="A35:D35"/>
    <mergeCell ref="A1:D1"/>
    <mergeCell ref="A2:D2"/>
    <mergeCell ref="A3:D3"/>
    <mergeCell ref="A17:D17"/>
    <mergeCell ref="A57:D57"/>
    <mergeCell ref="A65:D65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7"/>
  <sheetViews>
    <sheetView view="pageBreakPreview" zoomScaleSheetLayoutView="100" zoomScalePageLayoutView="0" workbookViewId="0" topLeftCell="A4">
      <selection activeCell="E21" sqref="E21"/>
    </sheetView>
  </sheetViews>
  <sheetFormatPr defaultColWidth="9.140625" defaultRowHeight="21.75"/>
  <cols>
    <col min="1" max="1" width="64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86" t="s">
        <v>612</v>
      </c>
      <c r="B1" s="686"/>
      <c r="C1" s="686"/>
      <c r="D1" s="686"/>
      <c r="E1" s="686"/>
      <c r="F1" s="686"/>
    </row>
    <row r="2" spans="1:6" ht="22.5">
      <c r="A2" s="686" t="s">
        <v>712</v>
      </c>
      <c r="B2" s="686"/>
      <c r="C2" s="686"/>
      <c r="D2" s="686"/>
      <c r="E2" s="686"/>
      <c r="F2" s="686"/>
    </row>
    <row r="3" spans="1:6" ht="22.5">
      <c r="A3" s="687" t="s">
        <v>320</v>
      </c>
      <c r="B3" s="687"/>
      <c r="C3" s="687"/>
      <c r="D3" s="687"/>
      <c r="E3" s="687"/>
      <c r="F3" s="687"/>
    </row>
    <row r="4" spans="1:6" ht="22.5">
      <c r="A4" s="367" t="s">
        <v>489</v>
      </c>
      <c r="B4" s="367"/>
      <c r="C4" s="367"/>
      <c r="D4" s="367"/>
      <c r="E4" s="367"/>
      <c r="F4" s="367"/>
    </row>
    <row r="5" spans="1:6" ht="22.5">
      <c r="A5" s="368" t="s">
        <v>36</v>
      </c>
      <c r="B5" s="369" t="s">
        <v>35</v>
      </c>
      <c r="C5" s="688" t="s">
        <v>313</v>
      </c>
      <c r="D5" s="689"/>
      <c r="E5" s="690" t="s">
        <v>38</v>
      </c>
      <c r="F5" s="689"/>
    </row>
    <row r="6" spans="1:6" ht="22.5">
      <c r="A6" s="374" t="s">
        <v>713</v>
      </c>
      <c r="B6" s="371"/>
      <c r="C6" s="372">
        <v>288</v>
      </c>
      <c r="D6" s="373" t="s">
        <v>53</v>
      </c>
      <c r="E6" s="374"/>
      <c r="F6" s="375"/>
    </row>
    <row r="7" spans="1:6" ht="22.5">
      <c r="A7" s="558" t="s">
        <v>48</v>
      </c>
      <c r="B7" s="377"/>
      <c r="C7" s="378"/>
      <c r="D7" s="379"/>
      <c r="E7" s="380">
        <f>C6</f>
        <v>288</v>
      </c>
      <c r="F7" s="377" t="s">
        <v>53</v>
      </c>
    </row>
    <row r="8" spans="1:6" ht="22.5">
      <c r="A8" s="370"/>
      <c r="B8" s="377"/>
      <c r="C8" s="378"/>
      <c r="D8" s="379"/>
      <c r="E8" s="381"/>
      <c r="F8" s="382"/>
    </row>
    <row r="9" spans="1:6" ht="22.5">
      <c r="A9" s="370"/>
      <c r="B9" s="377"/>
      <c r="C9" s="381"/>
      <c r="D9" s="379"/>
      <c r="E9" s="381"/>
      <c r="F9" s="382"/>
    </row>
    <row r="10" spans="1:6" ht="22.5">
      <c r="A10" s="370"/>
      <c r="B10" s="377"/>
      <c r="C10" s="381"/>
      <c r="D10" s="379"/>
      <c r="E10" s="381"/>
      <c r="F10" s="382"/>
    </row>
    <row r="11" spans="1:6" ht="22.5">
      <c r="A11" s="370"/>
      <c r="B11" s="377"/>
      <c r="C11" s="381"/>
      <c r="D11" s="379"/>
      <c r="E11" s="381"/>
      <c r="F11" s="382"/>
    </row>
    <row r="12" spans="1:6" ht="22.5">
      <c r="A12" s="383"/>
      <c r="B12" s="377"/>
      <c r="C12" s="378"/>
      <c r="D12" s="379"/>
      <c r="E12" s="381"/>
      <c r="F12" s="382"/>
    </row>
    <row r="13" spans="1:6" ht="22.5">
      <c r="A13" s="370"/>
      <c r="B13" s="377"/>
      <c r="C13" s="378"/>
      <c r="D13" s="379"/>
      <c r="E13" s="381"/>
      <c r="F13" s="382"/>
    </row>
    <row r="14" spans="1:6" ht="22.5">
      <c r="A14" s="370"/>
      <c r="B14" s="377"/>
      <c r="C14" s="370"/>
      <c r="D14" s="379"/>
      <c r="E14" s="378"/>
      <c r="F14" s="382"/>
    </row>
    <row r="15" spans="1:6" ht="22.5">
      <c r="A15" s="384"/>
      <c r="B15" s="385"/>
      <c r="C15" s="386"/>
      <c r="D15" s="387"/>
      <c r="E15" s="388"/>
      <c r="F15" s="387"/>
    </row>
    <row r="16" spans="1:6" ht="22.5">
      <c r="A16" s="389" t="s">
        <v>321</v>
      </c>
      <c r="B16" s="390"/>
      <c r="C16" s="391"/>
      <c r="D16" s="379"/>
      <c r="E16" s="392"/>
      <c r="F16" s="382"/>
    </row>
    <row r="17" spans="1:6" ht="22.5">
      <c r="A17" s="683" t="s">
        <v>714</v>
      </c>
      <c r="B17" s="684"/>
      <c r="C17" s="684"/>
      <c r="D17" s="684"/>
      <c r="E17" s="684"/>
      <c r="F17" s="685"/>
    </row>
    <row r="18" spans="1:6" ht="22.5">
      <c r="A18" s="393"/>
      <c r="B18" s="390"/>
      <c r="C18" s="391"/>
      <c r="D18" s="379"/>
      <c r="E18" s="392"/>
      <c r="F18" s="382"/>
    </row>
    <row r="19" spans="1:6" ht="22.5">
      <c r="A19" s="394"/>
      <c r="B19" s="395"/>
      <c r="C19" s="391"/>
      <c r="D19" s="379"/>
      <c r="E19" s="392"/>
      <c r="F19" s="382"/>
    </row>
    <row r="20" spans="1:6" ht="22.5">
      <c r="A20" s="394"/>
      <c r="B20" s="395"/>
      <c r="C20" s="391"/>
      <c r="D20" s="379"/>
      <c r="E20" s="392"/>
      <c r="F20" s="382"/>
    </row>
    <row r="21" spans="1:6" ht="22.5">
      <c r="A21" s="394"/>
      <c r="B21" s="395"/>
      <c r="C21" s="391"/>
      <c r="D21" s="379"/>
      <c r="E21" s="392"/>
      <c r="F21" s="382"/>
    </row>
    <row r="22" spans="1:6" ht="22.5">
      <c r="A22" s="396"/>
      <c r="B22" s="390"/>
      <c r="C22" s="391"/>
      <c r="D22" s="379"/>
      <c r="E22" s="392"/>
      <c r="F22" s="382"/>
    </row>
    <row r="23" spans="1:6" ht="22.5">
      <c r="A23" s="396"/>
      <c r="B23" s="390"/>
      <c r="C23" s="391"/>
      <c r="D23" s="379"/>
      <c r="E23" s="392"/>
      <c r="F23" s="382"/>
    </row>
    <row r="24" spans="1:6" ht="22.5">
      <c r="A24" s="393" t="s">
        <v>322</v>
      </c>
      <c r="B24" s="391"/>
      <c r="C24" s="391"/>
      <c r="D24" s="379"/>
      <c r="E24" s="391"/>
      <c r="F24" s="375"/>
    </row>
    <row r="25" spans="1:6" ht="22.5">
      <c r="A25" s="393"/>
      <c r="B25" s="391"/>
      <c r="C25" s="391"/>
      <c r="D25" s="379"/>
      <c r="E25" s="391"/>
      <c r="F25" s="375"/>
    </row>
    <row r="26" spans="1:6" ht="22.5">
      <c r="A26" s="683"/>
      <c r="B26" s="684"/>
      <c r="C26" s="684"/>
      <c r="D26" s="684"/>
      <c r="E26" s="684"/>
      <c r="F26" s="685"/>
    </row>
    <row r="27" spans="1:6" ht="22.5">
      <c r="A27" s="393"/>
      <c r="B27" s="390"/>
      <c r="C27" s="391"/>
      <c r="D27" s="379"/>
      <c r="E27" s="392"/>
      <c r="F27" s="382"/>
    </row>
    <row r="28" spans="1:6" ht="22.5">
      <c r="A28" s="384"/>
      <c r="B28" s="397"/>
      <c r="C28" s="397"/>
      <c r="D28" s="397"/>
      <c r="E28" s="397"/>
      <c r="F28" s="398"/>
    </row>
    <row r="38" spans="1:6" ht="22.5">
      <c r="A38" s="686"/>
      <c r="B38" s="686"/>
      <c r="C38" s="686"/>
      <c r="D38" s="686"/>
      <c r="E38" s="686"/>
      <c r="F38" s="686"/>
    </row>
    <row r="39" spans="1:6" ht="22.5">
      <c r="A39" s="686" t="s">
        <v>537</v>
      </c>
      <c r="B39" s="686"/>
      <c r="C39" s="686"/>
      <c r="D39" s="686"/>
      <c r="E39" s="686"/>
      <c r="F39" s="686"/>
    </row>
    <row r="40" spans="1:6" ht="22.5">
      <c r="A40" s="686" t="s">
        <v>538</v>
      </c>
      <c r="B40" s="686"/>
      <c r="C40" s="686"/>
      <c r="D40" s="686"/>
      <c r="E40" s="686"/>
      <c r="F40" s="686"/>
    </row>
    <row r="41" spans="1:6" ht="22.5">
      <c r="A41" s="687" t="s">
        <v>320</v>
      </c>
      <c r="B41" s="687"/>
      <c r="C41" s="687"/>
      <c r="D41" s="687"/>
      <c r="E41" s="687"/>
      <c r="F41" s="687"/>
    </row>
    <row r="42" spans="1:6" ht="22.5">
      <c r="A42" s="367" t="s">
        <v>312</v>
      </c>
      <c r="B42" s="367"/>
      <c r="C42" s="367"/>
      <c r="D42" s="367"/>
      <c r="E42" s="367"/>
      <c r="F42" s="367"/>
    </row>
    <row r="43" spans="1:6" ht="22.5">
      <c r="A43" s="368" t="s">
        <v>36</v>
      </c>
      <c r="B43" s="369" t="s">
        <v>35</v>
      </c>
      <c r="C43" s="688" t="s">
        <v>313</v>
      </c>
      <c r="D43" s="689"/>
      <c r="E43" s="690" t="s">
        <v>38</v>
      </c>
      <c r="F43" s="689"/>
    </row>
    <row r="44" spans="1:6" ht="22.5">
      <c r="A44" s="374" t="s">
        <v>540</v>
      </c>
      <c r="B44" s="371"/>
      <c r="C44" s="372">
        <v>19794</v>
      </c>
      <c r="D44" s="373">
        <v>39</v>
      </c>
      <c r="E44" s="374"/>
      <c r="F44" s="375"/>
    </row>
    <row r="45" spans="1:6" ht="23.25">
      <c r="A45" s="437" t="s">
        <v>536</v>
      </c>
      <c r="B45" s="377"/>
      <c r="C45" s="378"/>
      <c r="D45" s="379"/>
      <c r="E45" s="380">
        <f>C44</f>
        <v>19794</v>
      </c>
      <c r="F45" s="377" t="s">
        <v>539</v>
      </c>
    </row>
    <row r="46" spans="1:6" ht="22.5">
      <c r="A46" s="370"/>
      <c r="B46" s="377"/>
      <c r="C46" s="378"/>
      <c r="D46" s="379"/>
      <c r="E46" s="381"/>
      <c r="F46" s="382"/>
    </row>
    <row r="47" spans="1:6" ht="22.5">
      <c r="A47" s="370"/>
      <c r="B47" s="377"/>
      <c r="C47" s="381"/>
      <c r="D47" s="379"/>
      <c r="E47" s="381"/>
      <c r="F47" s="382"/>
    </row>
    <row r="48" spans="1:6" ht="22.5">
      <c r="A48" s="370"/>
      <c r="B48" s="377"/>
      <c r="C48" s="381"/>
      <c r="D48" s="379"/>
      <c r="E48" s="381"/>
      <c r="F48" s="382"/>
    </row>
    <row r="49" spans="1:6" ht="22.5">
      <c r="A49" s="370"/>
      <c r="B49" s="377"/>
      <c r="C49" s="381"/>
      <c r="D49" s="379"/>
      <c r="E49" s="381"/>
      <c r="F49" s="382"/>
    </row>
    <row r="50" spans="1:6" ht="22.5">
      <c r="A50" s="383"/>
      <c r="B50" s="377"/>
      <c r="C50" s="378"/>
      <c r="D50" s="379"/>
      <c r="E50" s="381"/>
      <c r="F50" s="382"/>
    </row>
    <row r="51" spans="1:6" ht="22.5">
      <c r="A51" s="370"/>
      <c r="B51" s="377"/>
      <c r="C51" s="378"/>
      <c r="D51" s="379"/>
      <c r="E51" s="381"/>
      <c r="F51" s="382"/>
    </row>
    <row r="52" spans="1:6" ht="22.5">
      <c r="A52" s="370"/>
      <c r="B52" s="377"/>
      <c r="C52" s="370"/>
      <c r="D52" s="379"/>
      <c r="E52" s="378"/>
      <c r="F52" s="382"/>
    </row>
    <row r="53" spans="1:6" ht="22.5">
      <c r="A53" s="384"/>
      <c r="B53" s="385"/>
      <c r="C53" s="386"/>
      <c r="D53" s="387"/>
      <c r="E53" s="388"/>
      <c r="F53" s="387"/>
    </row>
    <row r="54" spans="1:6" ht="22.5">
      <c r="A54" s="389" t="s">
        <v>321</v>
      </c>
      <c r="B54" s="390"/>
      <c r="C54" s="391"/>
      <c r="D54" s="379"/>
      <c r="E54" s="392"/>
      <c r="F54" s="382"/>
    </row>
    <row r="55" spans="1:6" ht="22.5">
      <c r="A55" s="683" t="s">
        <v>541</v>
      </c>
      <c r="B55" s="684"/>
      <c r="C55" s="684"/>
      <c r="D55" s="684"/>
      <c r="E55" s="684"/>
      <c r="F55" s="685"/>
    </row>
    <row r="56" spans="1:6" ht="22.5">
      <c r="A56" s="393"/>
      <c r="B56" s="390"/>
      <c r="C56" s="391"/>
      <c r="D56" s="379"/>
      <c r="E56" s="392"/>
      <c r="F56" s="382"/>
    </row>
    <row r="57" spans="1:6" ht="22.5">
      <c r="A57" s="394"/>
      <c r="B57" s="395"/>
      <c r="C57" s="391"/>
      <c r="D57" s="379"/>
      <c r="E57" s="392"/>
      <c r="F57" s="382"/>
    </row>
    <row r="58" spans="1:6" ht="22.5">
      <c r="A58" s="394"/>
      <c r="B58" s="395"/>
      <c r="C58" s="391"/>
      <c r="D58" s="379"/>
      <c r="E58" s="392"/>
      <c r="F58" s="382"/>
    </row>
    <row r="59" spans="1:6" ht="22.5">
      <c r="A59" s="394"/>
      <c r="B59" s="395"/>
      <c r="C59" s="391"/>
      <c r="D59" s="379"/>
      <c r="E59" s="392"/>
      <c r="F59" s="382"/>
    </row>
    <row r="60" spans="1:6" ht="22.5">
      <c r="A60" s="396"/>
      <c r="B60" s="390"/>
      <c r="C60" s="391"/>
      <c r="D60" s="379"/>
      <c r="E60" s="392"/>
      <c r="F60" s="382"/>
    </row>
    <row r="61" spans="1:6" ht="22.5">
      <c r="A61" s="396"/>
      <c r="B61" s="390"/>
      <c r="C61" s="391"/>
      <c r="D61" s="379"/>
      <c r="E61" s="392"/>
      <c r="F61" s="382"/>
    </row>
    <row r="62" spans="1:6" ht="22.5">
      <c r="A62" s="393" t="s">
        <v>322</v>
      </c>
      <c r="B62" s="391"/>
      <c r="C62" s="391"/>
      <c r="D62" s="379"/>
      <c r="E62" s="391"/>
      <c r="F62" s="375"/>
    </row>
    <row r="63" spans="1:6" ht="22.5">
      <c r="A63" s="393"/>
      <c r="B63" s="391"/>
      <c r="C63" s="391"/>
      <c r="D63" s="379"/>
      <c r="E63" s="391"/>
      <c r="F63" s="375"/>
    </row>
    <row r="64" spans="1:6" ht="22.5">
      <c r="A64" s="683"/>
      <c r="B64" s="684"/>
      <c r="C64" s="684"/>
      <c r="D64" s="684"/>
      <c r="E64" s="684"/>
      <c r="F64" s="685"/>
    </row>
    <row r="65" spans="1:6" ht="22.5">
      <c r="A65" s="393"/>
      <c r="B65" s="390"/>
      <c r="C65" s="391"/>
      <c r="D65" s="379"/>
      <c r="E65" s="392"/>
      <c r="F65" s="382"/>
    </row>
    <row r="66" spans="1:6" ht="22.5">
      <c r="A66" s="384"/>
      <c r="B66" s="397"/>
      <c r="C66" s="397"/>
      <c r="D66" s="397"/>
      <c r="E66" s="397"/>
      <c r="F66" s="398"/>
    </row>
    <row r="71" ht="23.25" customHeight="1"/>
    <row r="72" ht="23.25" customHeight="1"/>
    <row r="73" ht="23.25" customHeight="1"/>
    <row r="74" ht="23.25" customHeight="1"/>
    <row r="75" ht="23.25" customHeight="1"/>
    <row r="76" spans="1:6" ht="22.5">
      <c r="A76" s="686" t="s">
        <v>0</v>
      </c>
      <c r="B76" s="686"/>
      <c r="C76" s="686"/>
      <c r="D76" s="686"/>
      <c r="E76" s="686"/>
      <c r="F76" s="686"/>
    </row>
    <row r="77" spans="1:6" ht="22.5">
      <c r="A77" s="686" t="s">
        <v>341</v>
      </c>
      <c r="B77" s="686"/>
      <c r="C77" s="686"/>
      <c r="D77" s="686"/>
      <c r="E77" s="686"/>
      <c r="F77" s="686"/>
    </row>
    <row r="78" spans="1:6" ht="22.5">
      <c r="A78" s="687" t="s">
        <v>320</v>
      </c>
      <c r="B78" s="687"/>
      <c r="C78" s="687"/>
      <c r="D78" s="687"/>
      <c r="E78" s="687"/>
      <c r="F78" s="687"/>
    </row>
    <row r="79" spans="1:6" ht="22.5">
      <c r="A79" s="367" t="s">
        <v>312</v>
      </c>
      <c r="B79" s="367"/>
      <c r="C79" s="367"/>
      <c r="D79" s="367"/>
      <c r="E79" s="367"/>
      <c r="F79" s="367"/>
    </row>
    <row r="80" spans="1:6" ht="22.5">
      <c r="A80" s="368" t="s">
        <v>36</v>
      </c>
      <c r="B80" s="369" t="s">
        <v>35</v>
      </c>
      <c r="C80" s="688" t="s">
        <v>313</v>
      </c>
      <c r="D80" s="689"/>
      <c r="E80" s="688" t="s">
        <v>38</v>
      </c>
      <c r="F80" s="689"/>
    </row>
    <row r="81" spans="1:6" ht="22.5">
      <c r="A81" s="370" t="s">
        <v>340</v>
      </c>
      <c r="B81" s="371"/>
      <c r="C81" s="372">
        <v>1190</v>
      </c>
      <c r="D81" s="373" t="s">
        <v>53</v>
      </c>
      <c r="E81" s="374"/>
      <c r="F81" s="375"/>
    </row>
    <row r="82" spans="1:6" ht="22.5">
      <c r="A82" s="376" t="s">
        <v>39</v>
      </c>
      <c r="B82" s="377"/>
      <c r="C82" s="378"/>
      <c r="D82" s="379"/>
      <c r="E82" s="380">
        <f>C81</f>
        <v>1190</v>
      </c>
      <c r="F82" s="377" t="s">
        <v>53</v>
      </c>
    </row>
    <row r="83" spans="1:6" ht="22.5">
      <c r="A83" s="370"/>
      <c r="B83" s="377"/>
      <c r="C83" s="378"/>
      <c r="D83" s="379"/>
      <c r="E83" s="381"/>
      <c r="F83" s="382"/>
    </row>
    <row r="84" spans="1:6" ht="22.5">
      <c r="A84" s="370"/>
      <c r="B84" s="377"/>
      <c r="C84" s="381"/>
      <c r="D84" s="379"/>
      <c r="E84" s="381"/>
      <c r="F84" s="382"/>
    </row>
    <row r="85" spans="1:6" ht="22.5">
      <c r="A85" s="370"/>
      <c r="B85" s="377"/>
      <c r="C85" s="381"/>
      <c r="D85" s="379"/>
      <c r="E85" s="381"/>
      <c r="F85" s="382"/>
    </row>
    <row r="86" spans="1:6" ht="22.5">
      <c r="A86" s="370"/>
      <c r="B86" s="377"/>
      <c r="C86" s="381"/>
      <c r="D86" s="379"/>
      <c r="E86" s="381"/>
      <c r="F86" s="382"/>
    </row>
    <row r="87" spans="1:6" ht="22.5">
      <c r="A87" s="383"/>
      <c r="B87" s="377"/>
      <c r="C87" s="378"/>
      <c r="D87" s="379"/>
      <c r="E87" s="381"/>
      <c r="F87" s="382"/>
    </row>
    <row r="88" spans="1:6" ht="22.5">
      <c r="A88" s="370"/>
      <c r="B88" s="377"/>
      <c r="C88" s="378"/>
      <c r="D88" s="379"/>
      <c r="E88" s="381"/>
      <c r="F88" s="382"/>
    </row>
    <row r="89" spans="1:6" ht="22.5">
      <c r="A89" s="370"/>
      <c r="B89" s="377"/>
      <c r="C89" s="370"/>
      <c r="D89" s="379"/>
      <c r="E89" s="378"/>
      <c r="F89" s="382"/>
    </row>
    <row r="90" spans="1:6" ht="22.5">
      <c r="A90" s="384"/>
      <c r="B90" s="385"/>
      <c r="C90" s="386"/>
      <c r="D90" s="387"/>
      <c r="E90" s="388"/>
      <c r="F90" s="387"/>
    </row>
    <row r="91" spans="1:6" ht="22.5">
      <c r="A91" s="389" t="s">
        <v>321</v>
      </c>
      <c r="B91" s="390"/>
      <c r="C91" s="391"/>
      <c r="D91" s="379"/>
      <c r="E91" s="392"/>
      <c r="F91" s="382"/>
    </row>
    <row r="92" spans="1:6" ht="22.5">
      <c r="A92" s="683" t="s">
        <v>342</v>
      </c>
      <c r="B92" s="684"/>
      <c r="C92" s="684"/>
      <c r="D92" s="684"/>
      <c r="E92" s="684"/>
      <c r="F92" s="685"/>
    </row>
    <row r="93" spans="1:6" ht="22.5">
      <c r="A93" s="393"/>
      <c r="B93" s="390"/>
      <c r="C93" s="391"/>
      <c r="D93" s="379"/>
      <c r="E93" s="392"/>
      <c r="F93" s="382"/>
    </row>
    <row r="94" spans="1:6" ht="22.5">
      <c r="A94" s="394"/>
      <c r="B94" s="395"/>
      <c r="C94" s="391"/>
      <c r="D94" s="379"/>
      <c r="E94" s="392"/>
      <c r="F94" s="382"/>
    </row>
    <row r="95" spans="1:6" ht="22.5">
      <c r="A95" s="394"/>
      <c r="B95" s="395"/>
      <c r="C95" s="391"/>
      <c r="D95" s="379"/>
      <c r="E95" s="392"/>
      <c r="F95" s="382"/>
    </row>
    <row r="96" spans="1:6" ht="22.5">
      <c r="A96" s="394"/>
      <c r="B96" s="395"/>
      <c r="C96" s="391"/>
      <c r="D96" s="379"/>
      <c r="E96" s="392"/>
      <c r="F96" s="382"/>
    </row>
    <row r="97" spans="1:6" ht="22.5">
      <c r="A97" s="396"/>
      <c r="B97" s="390"/>
      <c r="C97" s="391"/>
      <c r="D97" s="379"/>
      <c r="E97" s="392"/>
      <c r="F97" s="382"/>
    </row>
    <row r="98" spans="1:6" ht="22.5">
      <c r="A98" s="396"/>
      <c r="B98" s="390"/>
      <c r="C98" s="391"/>
      <c r="D98" s="379"/>
      <c r="E98" s="392"/>
      <c r="F98" s="382"/>
    </row>
    <row r="99" spans="1:6" ht="22.5">
      <c r="A99" s="393" t="s">
        <v>322</v>
      </c>
      <c r="B99" s="391"/>
      <c r="C99" s="391"/>
      <c r="D99" s="379"/>
      <c r="E99" s="391"/>
      <c r="F99" s="375"/>
    </row>
    <row r="100" spans="1:6" ht="22.5">
      <c r="A100" s="393"/>
      <c r="B100" s="391"/>
      <c r="C100" s="391"/>
      <c r="D100" s="379"/>
      <c r="E100" s="391"/>
      <c r="F100" s="375"/>
    </row>
    <row r="101" spans="1:6" ht="22.5">
      <c r="A101" s="683"/>
      <c r="B101" s="684"/>
      <c r="C101" s="684"/>
      <c r="D101" s="684"/>
      <c r="E101" s="684"/>
      <c r="F101" s="685"/>
    </row>
    <row r="102" spans="1:6" ht="22.5">
      <c r="A102" s="393"/>
      <c r="B102" s="390"/>
      <c r="C102" s="391"/>
      <c r="D102" s="379"/>
      <c r="E102" s="392"/>
      <c r="F102" s="382"/>
    </row>
    <row r="103" spans="1:6" ht="22.5">
      <c r="A103" s="384"/>
      <c r="B103" s="397"/>
      <c r="C103" s="397"/>
      <c r="D103" s="397"/>
      <c r="E103" s="397"/>
      <c r="F103" s="398"/>
    </row>
    <row r="104" spans="1:6" ht="22.5">
      <c r="A104" s="391"/>
      <c r="B104" s="391"/>
      <c r="C104" s="391"/>
      <c r="D104" s="391"/>
      <c r="E104" s="391"/>
      <c r="F104" s="391"/>
    </row>
    <row r="105" spans="1:6" ht="22.5">
      <c r="A105" s="391"/>
      <c r="B105" s="391"/>
      <c r="C105" s="391"/>
      <c r="D105" s="391"/>
      <c r="E105" s="391"/>
      <c r="F105" s="391"/>
    </row>
    <row r="106" spans="1:6" ht="22.5">
      <c r="A106" s="391"/>
      <c r="B106" s="391"/>
      <c r="C106" s="391"/>
      <c r="D106" s="391"/>
      <c r="E106" s="391"/>
      <c r="F106" s="391"/>
    </row>
    <row r="107" spans="1:6" ht="22.5">
      <c r="A107" s="391"/>
      <c r="B107" s="391"/>
      <c r="C107" s="391"/>
      <c r="D107" s="391"/>
      <c r="E107" s="391"/>
      <c r="F107" s="391"/>
    </row>
    <row r="108" spans="1:6" ht="22.5">
      <c r="A108" s="391"/>
      <c r="B108" s="391"/>
      <c r="C108" s="391"/>
      <c r="D108" s="391"/>
      <c r="E108" s="391"/>
      <c r="F108" s="391"/>
    </row>
    <row r="109" spans="1:6" ht="22.5">
      <c r="A109" s="391"/>
      <c r="B109" s="391"/>
      <c r="C109" s="391"/>
      <c r="D109" s="391"/>
      <c r="E109" s="391"/>
      <c r="F109" s="391"/>
    </row>
    <row r="110" spans="1:6" ht="22.5">
      <c r="A110" s="391"/>
      <c r="B110" s="391"/>
      <c r="C110" s="391"/>
      <c r="D110" s="391"/>
      <c r="E110" s="391"/>
      <c r="F110" s="391"/>
    </row>
    <row r="111" spans="1:6" ht="22.5">
      <c r="A111" s="391"/>
      <c r="B111" s="391"/>
      <c r="C111" s="391"/>
      <c r="D111" s="391"/>
      <c r="E111" s="391"/>
      <c r="F111" s="391"/>
    </row>
    <row r="112" spans="1:6" ht="22.5">
      <c r="A112" s="391"/>
      <c r="B112" s="391"/>
      <c r="C112" s="391"/>
      <c r="D112" s="391"/>
      <c r="E112" s="391"/>
      <c r="F112" s="391"/>
    </row>
    <row r="113" spans="1:6" ht="22.5">
      <c r="A113" s="391"/>
      <c r="B113" s="391"/>
      <c r="C113" s="391"/>
      <c r="D113" s="391"/>
      <c r="E113" s="391"/>
      <c r="F113" s="391"/>
    </row>
    <row r="114" spans="1:6" ht="22.5">
      <c r="A114" s="686" t="s">
        <v>0</v>
      </c>
      <c r="B114" s="686"/>
      <c r="C114" s="686"/>
      <c r="D114" s="686"/>
      <c r="E114" s="686"/>
      <c r="F114" s="686"/>
    </row>
    <row r="115" spans="1:6" ht="22.5">
      <c r="A115" s="686" t="s">
        <v>341</v>
      </c>
      <c r="B115" s="686"/>
      <c r="C115" s="686"/>
      <c r="D115" s="686"/>
      <c r="E115" s="686"/>
      <c r="F115" s="686"/>
    </row>
    <row r="116" spans="1:6" ht="22.5">
      <c r="A116" s="687" t="s">
        <v>320</v>
      </c>
      <c r="B116" s="687"/>
      <c r="C116" s="687"/>
      <c r="D116" s="687"/>
      <c r="E116" s="687"/>
      <c r="F116" s="687"/>
    </row>
    <row r="117" spans="1:6" ht="22.5">
      <c r="A117" s="367" t="s">
        <v>312</v>
      </c>
      <c r="B117" s="367"/>
      <c r="C117" s="367"/>
      <c r="D117" s="367"/>
      <c r="E117" s="367"/>
      <c r="F117" s="367"/>
    </row>
    <row r="118" spans="1:6" ht="22.5">
      <c r="A118" s="368" t="s">
        <v>36</v>
      </c>
      <c r="B118" s="369" t="s">
        <v>35</v>
      </c>
      <c r="C118" s="688" t="s">
        <v>313</v>
      </c>
      <c r="D118" s="689"/>
      <c r="E118" s="688" t="s">
        <v>38</v>
      </c>
      <c r="F118" s="689"/>
    </row>
    <row r="119" spans="1:6" ht="22.5">
      <c r="A119" s="370" t="s">
        <v>343</v>
      </c>
      <c r="B119" s="371"/>
      <c r="C119" s="372">
        <v>1190</v>
      </c>
      <c r="D119" s="373" t="s">
        <v>53</v>
      </c>
      <c r="E119" s="374"/>
      <c r="F119" s="375"/>
    </row>
    <row r="120" spans="1:6" ht="22.5">
      <c r="A120" s="376" t="s">
        <v>48</v>
      </c>
      <c r="B120" s="377"/>
      <c r="C120" s="378"/>
      <c r="D120" s="379"/>
      <c r="E120" s="380">
        <f>C119</f>
        <v>1190</v>
      </c>
      <c r="F120" s="377" t="s">
        <v>53</v>
      </c>
    </row>
    <row r="121" spans="1:6" ht="22.5">
      <c r="A121" s="370"/>
      <c r="B121" s="377"/>
      <c r="C121" s="378"/>
      <c r="D121" s="379"/>
      <c r="E121" s="381"/>
      <c r="F121" s="382"/>
    </row>
    <row r="122" spans="1:6" ht="22.5">
      <c r="A122" s="370"/>
      <c r="B122" s="377"/>
      <c r="C122" s="381"/>
      <c r="D122" s="379"/>
      <c r="E122" s="381"/>
      <c r="F122" s="382"/>
    </row>
    <row r="123" spans="1:6" ht="22.5">
      <c r="A123" s="370"/>
      <c r="B123" s="377"/>
      <c r="C123" s="381"/>
      <c r="D123" s="379"/>
      <c r="E123" s="381"/>
      <c r="F123" s="382"/>
    </row>
    <row r="124" spans="1:6" ht="22.5">
      <c r="A124" s="370"/>
      <c r="B124" s="377"/>
      <c r="C124" s="381"/>
      <c r="D124" s="379"/>
      <c r="E124" s="381"/>
      <c r="F124" s="382"/>
    </row>
    <row r="125" spans="1:6" ht="22.5">
      <c r="A125" s="383"/>
      <c r="B125" s="377"/>
      <c r="C125" s="378"/>
      <c r="D125" s="379"/>
      <c r="E125" s="381"/>
      <c r="F125" s="382"/>
    </row>
    <row r="126" spans="1:6" ht="22.5">
      <c r="A126" s="370"/>
      <c r="B126" s="377"/>
      <c r="C126" s="378"/>
      <c r="D126" s="379"/>
      <c r="E126" s="381"/>
      <c r="F126" s="382"/>
    </row>
    <row r="127" spans="1:6" ht="22.5">
      <c r="A127" s="370"/>
      <c r="B127" s="377"/>
      <c r="C127" s="370"/>
      <c r="D127" s="379"/>
      <c r="E127" s="378"/>
      <c r="F127" s="382"/>
    </row>
    <row r="128" spans="1:6" ht="22.5">
      <c r="A128" s="384"/>
      <c r="B128" s="385"/>
      <c r="C128" s="386"/>
      <c r="D128" s="387"/>
      <c r="E128" s="388"/>
      <c r="F128" s="387"/>
    </row>
    <row r="129" spans="1:6" ht="22.5">
      <c r="A129" s="389" t="s">
        <v>321</v>
      </c>
      <c r="B129" s="390"/>
      <c r="C129" s="391"/>
      <c r="D129" s="379"/>
      <c r="E129" s="392"/>
      <c r="F129" s="382"/>
    </row>
    <row r="130" spans="1:6" ht="22.5">
      <c r="A130" s="683" t="s">
        <v>344</v>
      </c>
      <c r="B130" s="684"/>
      <c r="C130" s="684"/>
      <c r="D130" s="684"/>
      <c r="E130" s="684"/>
      <c r="F130" s="685"/>
    </row>
    <row r="131" spans="1:6" ht="22.5">
      <c r="A131" s="393"/>
      <c r="B131" s="390"/>
      <c r="C131" s="391"/>
      <c r="D131" s="379"/>
      <c r="E131" s="392"/>
      <c r="F131" s="382"/>
    </row>
    <row r="132" spans="1:6" ht="22.5">
      <c r="A132" s="394"/>
      <c r="B132" s="395"/>
      <c r="C132" s="391"/>
      <c r="D132" s="379"/>
      <c r="E132" s="392"/>
      <c r="F132" s="382"/>
    </row>
    <row r="133" spans="1:6" ht="22.5">
      <c r="A133" s="394"/>
      <c r="B133" s="395"/>
      <c r="C133" s="391"/>
      <c r="D133" s="379"/>
      <c r="E133" s="392"/>
      <c r="F133" s="382"/>
    </row>
    <row r="134" spans="1:6" ht="22.5">
      <c r="A134" s="394"/>
      <c r="B134" s="395"/>
      <c r="C134" s="391"/>
      <c r="D134" s="379"/>
      <c r="E134" s="392"/>
      <c r="F134" s="382"/>
    </row>
    <row r="135" spans="1:6" ht="22.5">
      <c r="A135" s="396"/>
      <c r="B135" s="390"/>
      <c r="C135" s="391"/>
      <c r="D135" s="379"/>
      <c r="E135" s="392"/>
      <c r="F135" s="382"/>
    </row>
    <row r="136" spans="1:6" ht="22.5">
      <c r="A136" s="396"/>
      <c r="B136" s="390"/>
      <c r="C136" s="391"/>
      <c r="D136" s="379"/>
      <c r="E136" s="392"/>
      <c r="F136" s="382"/>
    </row>
    <row r="137" spans="1:6" ht="22.5">
      <c r="A137" s="393" t="s">
        <v>322</v>
      </c>
      <c r="B137" s="391"/>
      <c r="C137" s="391"/>
      <c r="D137" s="379"/>
      <c r="E137" s="391"/>
      <c r="F137" s="375"/>
    </row>
    <row r="138" spans="1:6" ht="22.5">
      <c r="A138" s="393"/>
      <c r="B138" s="391"/>
      <c r="C138" s="391"/>
      <c r="D138" s="379"/>
      <c r="E138" s="391"/>
      <c r="F138" s="375"/>
    </row>
    <row r="139" spans="1:6" ht="22.5">
      <c r="A139" s="683"/>
      <c r="B139" s="684"/>
      <c r="C139" s="684"/>
      <c r="D139" s="684"/>
      <c r="E139" s="684"/>
      <c r="F139" s="685"/>
    </row>
    <row r="140" spans="1:6" ht="22.5">
      <c r="A140" s="393"/>
      <c r="B140" s="390"/>
      <c r="C140" s="391"/>
      <c r="D140" s="379"/>
      <c r="E140" s="392"/>
      <c r="F140" s="382"/>
    </row>
    <row r="141" spans="1:6" ht="22.5">
      <c r="A141" s="384"/>
      <c r="B141" s="397"/>
      <c r="C141" s="397"/>
      <c r="D141" s="397"/>
      <c r="E141" s="397"/>
      <c r="F141" s="398"/>
    </row>
    <row r="142" spans="1:6" ht="22.5">
      <c r="A142" s="391"/>
      <c r="B142" s="391"/>
      <c r="C142" s="391"/>
      <c r="D142" s="391"/>
      <c r="E142" s="391"/>
      <c r="F142" s="391"/>
    </row>
    <row r="143" spans="1:6" ht="22.5">
      <c r="A143" s="391"/>
      <c r="B143" s="391"/>
      <c r="C143" s="391"/>
      <c r="D143" s="391"/>
      <c r="E143" s="391"/>
      <c r="F143" s="391"/>
    </row>
    <row r="144" spans="1:6" ht="22.5">
      <c r="A144" s="391"/>
      <c r="B144" s="391"/>
      <c r="C144" s="391"/>
      <c r="D144" s="391"/>
      <c r="E144" s="391"/>
      <c r="F144" s="391"/>
    </row>
    <row r="145" spans="1:6" ht="22.5">
      <c r="A145" s="391"/>
      <c r="B145" s="391"/>
      <c r="C145" s="391"/>
      <c r="D145" s="391"/>
      <c r="E145" s="391"/>
      <c r="F145" s="391"/>
    </row>
    <row r="146" spans="1:6" ht="22.5">
      <c r="A146" s="391"/>
      <c r="B146" s="391"/>
      <c r="C146" s="391"/>
      <c r="D146" s="391"/>
      <c r="E146" s="391"/>
      <c r="F146" s="391"/>
    </row>
    <row r="147" spans="1:6" ht="22.5">
      <c r="A147" s="391"/>
      <c r="B147" s="391"/>
      <c r="C147" s="391"/>
      <c r="D147" s="391"/>
      <c r="E147" s="391"/>
      <c r="F147" s="391"/>
    </row>
    <row r="148" spans="1:6" ht="22.5">
      <c r="A148" s="391"/>
      <c r="B148" s="391"/>
      <c r="C148" s="391"/>
      <c r="D148" s="391"/>
      <c r="E148" s="391"/>
      <c r="F148" s="391"/>
    </row>
    <row r="149" spans="1:6" ht="22.5">
      <c r="A149" s="391"/>
      <c r="B149" s="391"/>
      <c r="C149" s="391"/>
      <c r="D149" s="391"/>
      <c r="E149" s="391"/>
      <c r="F149" s="391"/>
    </row>
    <row r="150" spans="1:6" ht="22.5">
      <c r="A150" s="391"/>
      <c r="B150" s="391"/>
      <c r="C150" s="391"/>
      <c r="D150" s="391"/>
      <c r="E150" s="391"/>
      <c r="F150" s="391"/>
    </row>
    <row r="151" spans="1:6" ht="22.5">
      <c r="A151" s="391"/>
      <c r="B151" s="391"/>
      <c r="C151" s="391"/>
      <c r="D151" s="391"/>
      <c r="E151" s="391"/>
      <c r="F151" s="391"/>
    </row>
    <row r="152" spans="1:6" ht="22.5">
      <c r="A152" s="686" t="s">
        <v>0</v>
      </c>
      <c r="B152" s="686"/>
      <c r="C152" s="686"/>
      <c r="D152" s="686"/>
      <c r="E152" s="686"/>
      <c r="F152" s="686"/>
    </row>
    <row r="153" spans="1:6" ht="22.5">
      <c r="A153" s="686" t="s">
        <v>341</v>
      </c>
      <c r="B153" s="686"/>
      <c r="C153" s="686"/>
      <c r="D153" s="686"/>
      <c r="E153" s="686"/>
      <c r="F153" s="686"/>
    </row>
    <row r="154" spans="1:6" ht="22.5">
      <c r="A154" s="687" t="s">
        <v>320</v>
      </c>
      <c r="B154" s="687"/>
      <c r="C154" s="687"/>
      <c r="D154" s="687"/>
      <c r="E154" s="687"/>
      <c r="F154" s="687"/>
    </row>
    <row r="155" spans="1:6" ht="22.5">
      <c r="A155" s="367" t="s">
        <v>312</v>
      </c>
      <c r="B155" s="367"/>
      <c r="C155" s="367"/>
      <c r="D155" s="367"/>
      <c r="E155" s="367"/>
      <c r="F155" s="367"/>
    </row>
    <row r="156" spans="1:6" ht="22.5">
      <c r="A156" s="368" t="s">
        <v>36</v>
      </c>
      <c r="B156" s="369" t="s">
        <v>35</v>
      </c>
      <c r="C156" s="688" t="s">
        <v>313</v>
      </c>
      <c r="D156" s="689"/>
      <c r="E156" s="688" t="s">
        <v>38</v>
      </c>
      <c r="F156" s="689"/>
    </row>
    <row r="157" spans="1:6" ht="22.5">
      <c r="A157" s="370" t="s">
        <v>44</v>
      </c>
      <c r="B157" s="371" t="s">
        <v>337</v>
      </c>
      <c r="C157" s="372">
        <v>149105</v>
      </c>
      <c r="D157" s="373">
        <v>30</v>
      </c>
      <c r="E157" s="374"/>
      <c r="F157" s="375"/>
    </row>
    <row r="158" spans="1:6" ht="22.5">
      <c r="A158" s="376" t="s">
        <v>44</v>
      </c>
      <c r="B158" s="377" t="s">
        <v>326</v>
      </c>
      <c r="C158" s="378"/>
      <c r="D158" s="379"/>
      <c r="E158" s="380">
        <f>C157</f>
        <v>149105</v>
      </c>
      <c r="F158" s="377" t="s">
        <v>361</v>
      </c>
    </row>
    <row r="159" spans="1:6" ht="22.5">
      <c r="A159" s="370"/>
      <c r="B159" s="377"/>
      <c r="C159" s="378"/>
      <c r="D159" s="379"/>
      <c r="E159" s="381"/>
      <c r="F159" s="382"/>
    </row>
    <row r="160" spans="1:6" ht="22.5">
      <c r="A160" s="370"/>
      <c r="B160" s="377"/>
      <c r="C160" s="381"/>
      <c r="D160" s="379"/>
      <c r="E160" s="381"/>
      <c r="F160" s="382"/>
    </row>
    <row r="161" spans="1:6" ht="22.5">
      <c r="A161" s="370"/>
      <c r="B161" s="377"/>
      <c r="C161" s="381"/>
      <c r="D161" s="379"/>
      <c r="E161" s="381"/>
      <c r="F161" s="382"/>
    </row>
    <row r="162" spans="1:6" ht="22.5">
      <c r="A162" s="370"/>
      <c r="B162" s="377"/>
      <c r="C162" s="381"/>
      <c r="D162" s="379"/>
      <c r="E162" s="381"/>
      <c r="F162" s="382"/>
    </row>
    <row r="163" spans="1:6" ht="22.5">
      <c r="A163" s="383"/>
      <c r="B163" s="377"/>
      <c r="C163" s="378"/>
      <c r="D163" s="379"/>
      <c r="E163" s="381"/>
      <c r="F163" s="382"/>
    </row>
    <row r="164" spans="1:6" ht="22.5">
      <c r="A164" s="370"/>
      <c r="B164" s="377"/>
      <c r="C164" s="378"/>
      <c r="D164" s="379"/>
      <c r="E164" s="381"/>
      <c r="F164" s="382"/>
    </row>
    <row r="165" spans="1:6" ht="22.5">
      <c r="A165" s="370"/>
      <c r="B165" s="377"/>
      <c r="C165" s="370"/>
      <c r="D165" s="379"/>
      <c r="E165" s="378"/>
      <c r="F165" s="382"/>
    </row>
    <row r="166" spans="1:6" ht="22.5">
      <c r="A166" s="384"/>
      <c r="B166" s="385"/>
      <c r="C166" s="386"/>
      <c r="D166" s="387"/>
      <c r="E166" s="388"/>
      <c r="F166" s="387"/>
    </row>
    <row r="167" spans="1:6" ht="22.5">
      <c r="A167" s="389" t="s">
        <v>321</v>
      </c>
      <c r="B167" s="390"/>
      <c r="C167" s="391"/>
      <c r="D167" s="379"/>
      <c r="E167" s="392"/>
      <c r="F167" s="382"/>
    </row>
    <row r="168" spans="1:6" ht="22.5">
      <c r="A168" s="683" t="s">
        <v>362</v>
      </c>
      <c r="B168" s="684"/>
      <c r="C168" s="684"/>
      <c r="D168" s="684"/>
      <c r="E168" s="684"/>
      <c r="F168" s="685"/>
    </row>
    <row r="169" spans="1:6" ht="22.5">
      <c r="A169" s="393"/>
      <c r="B169" s="390"/>
      <c r="C169" s="391"/>
      <c r="D169" s="379"/>
      <c r="E169" s="392"/>
      <c r="F169" s="382"/>
    </row>
    <row r="170" spans="1:6" ht="22.5">
      <c r="A170" s="394"/>
      <c r="B170" s="395"/>
      <c r="C170" s="391"/>
      <c r="D170" s="379"/>
      <c r="E170" s="392"/>
      <c r="F170" s="382"/>
    </row>
    <row r="171" spans="1:6" ht="22.5">
      <c r="A171" s="394"/>
      <c r="B171" s="395"/>
      <c r="C171" s="391"/>
      <c r="D171" s="379"/>
      <c r="E171" s="392"/>
      <c r="F171" s="382"/>
    </row>
    <row r="172" spans="1:6" ht="22.5">
      <c r="A172" s="394"/>
      <c r="B172" s="395"/>
      <c r="C172" s="391"/>
      <c r="D172" s="379"/>
      <c r="E172" s="392"/>
      <c r="F172" s="382"/>
    </row>
    <row r="173" spans="1:6" ht="22.5">
      <c r="A173" s="396"/>
      <c r="B173" s="390"/>
      <c r="C173" s="391"/>
      <c r="D173" s="379"/>
      <c r="E173" s="392"/>
      <c r="F173" s="382"/>
    </row>
    <row r="174" spans="1:6" ht="22.5">
      <c r="A174" s="396"/>
      <c r="B174" s="390"/>
      <c r="C174" s="391"/>
      <c r="D174" s="379"/>
      <c r="E174" s="392"/>
      <c r="F174" s="382"/>
    </row>
    <row r="175" spans="1:6" ht="22.5">
      <c r="A175" s="393" t="s">
        <v>322</v>
      </c>
      <c r="B175" s="391"/>
      <c r="C175" s="391"/>
      <c r="D175" s="379"/>
      <c r="E175" s="391"/>
      <c r="F175" s="375"/>
    </row>
    <row r="176" spans="1:6" ht="22.5">
      <c r="A176" s="393"/>
      <c r="B176" s="391"/>
      <c r="C176" s="391"/>
      <c r="D176" s="379"/>
      <c r="E176" s="391"/>
      <c r="F176" s="375"/>
    </row>
    <row r="177" spans="1:6" ht="22.5">
      <c r="A177" s="683"/>
      <c r="B177" s="684"/>
      <c r="C177" s="684"/>
      <c r="D177" s="684"/>
      <c r="E177" s="684"/>
      <c r="F177" s="685"/>
    </row>
    <row r="178" spans="1:6" ht="22.5">
      <c r="A178" s="393"/>
      <c r="B178" s="390"/>
      <c r="C178" s="391"/>
      <c r="D178" s="379"/>
      <c r="E178" s="392"/>
      <c r="F178" s="382"/>
    </row>
    <row r="179" spans="1:6" ht="22.5">
      <c r="A179" s="384"/>
      <c r="B179" s="397"/>
      <c r="C179" s="397"/>
      <c r="D179" s="397"/>
      <c r="E179" s="397"/>
      <c r="F179" s="398"/>
    </row>
    <row r="190" spans="1:6" ht="22.5">
      <c r="A190" s="686" t="s">
        <v>0</v>
      </c>
      <c r="B190" s="686"/>
      <c r="C190" s="686"/>
      <c r="D190" s="686"/>
      <c r="E190" s="686"/>
      <c r="F190" s="686"/>
    </row>
    <row r="191" spans="1:6" ht="22.5">
      <c r="A191" s="686" t="s">
        <v>341</v>
      </c>
      <c r="B191" s="686"/>
      <c r="C191" s="686"/>
      <c r="D191" s="686"/>
      <c r="E191" s="686"/>
      <c r="F191" s="686"/>
    </row>
    <row r="192" spans="1:6" ht="22.5">
      <c r="A192" s="687" t="s">
        <v>320</v>
      </c>
      <c r="B192" s="687"/>
      <c r="C192" s="687"/>
      <c r="D192" s="687"/>
      <c r="E192" s="687"/>
      <c r="F192" s="687"/>
    </row>
    <row r="193" spans="1:6" ht="22.5">
      <c r="A193" s="367" t="s">
        <v>312</v>
      </c>
      <c r="B193" s="367"/>
      <c r="C193" s="367"/>
      <c r="D193" s="367"/>
      <c r="E193" s="367"/>
      <c r="F193" s="367"/>
    </row>
    <row r="194" spans="1:6" ht="22.5">
      <c r="A194" s="368" t="s">
        <v>36</v>
      </c>
      <c r="B194" s="369" t="s">
        <v>35</v>
      </c>
      <c r="C194" s="688" t="s">
        <v>313</v>
      </c>
      <c r="D194" s="689"/>
      <c r="E194" s="688" t="s">
        <v>38</v>
      </c>
      <c r="F194" s="689"/>
    </row>
    <row r="195" spans="1:6" ht="22.5">
      <c r="A195" s="370" t="s">
        <v>363</v>
      </c>
      <c r="B195" s="371"/>
      <c r="C195" s="372">
        <v>90</v>
      </c>
      <c r="D195" s="373" t="s">
        <v>53</v>
      </c>
      <c r="E195" s="374"/>
      <c r="F195" s="375"/>
    </row>
    <row r="196" spans="1:6" ht="22.5">
      <c r="A196" s="376" t="s">
        <v>364</v>
      </c>
      <c r="B196" s="377"/>
      <c r="C196" s="378"/>
      <c r="D196" s="379"/>
      <c r="E196" s="380">
        <f>C195</f>
        <v>90</v>
      </c>
      <c r="F196" s="377" t="s">
        <v>53</v>
      </c>
    </row>
    <row r="197" spans="1:6" ht="22.5">
      <c r="A197" s="370"/>
      <c r="B197" s="377"/>
      <c r="C197" s="378"/>
      <c r="D197" s="379"/>
      <c r="E197" s="381"/>
      <c r="F197" s="382"/>
    </row>
    <row r="198" spans="1:6" ht="22.5">
      <c r="A198" s="370"/>
      <c r="B198" s="377"/>
      <c r="C198" s="381"/>
      <c r="D198" s="379"/>
      <c r="E198" s="381"/>
      <c r="F198" s="382"/>
    </row>
    <row r="199" spans="1:6" ht="22.5">
      <c r="A199" s="370"/>
      <c r="B199" s="377"/>
      <c r="C199" s="381"/>
      <c r="D199" s="379"/>
      <c r="E199" s="381"/>
      <c r="F199" s="382"/>
    </row>
    <row r="200" spans="1:6" ht="22.5">
      <c r="A200" s="370"/>
      <c r="B200" s="377"/>
      <c r="C200" s="381"/>
      <c r="D200" s="379"/>
      <c r="E200" s="381"/>
      <c r="F200" s="382"/>
    </row>
    <row r="201" spans="1:6" ht="22.5">
      <c r="A201" s="383"/>
      <c r="B201" s="377"/>
      <c r="C201" s="378"/>
      <c r="D201" s="379"/>
      <c r="E201" s="381"/>
      <c r="F201" s="382"/>
    </row>
    <row r="202" spans="1:6" ht="22.5">
      <c r="A202" s="370"/>
      <c r="B202" s="377"/>
      <c r="C202" s="378"/>
      <c r="D202" s="379"/>
      <c r="E202" s="381"/>
      <c r="F202" s="382"/>
    </row>
    <row r="203" spans="1:6" ht="22.5">
      <c r="A203" s="370"/>
      <c r="B203" s="377"/>
      <c r="C203" s="370"/>
      <c r="D203" s="379"/>
      <c r="E203" s="378"/>
      <c r="F203" s="382"/>
    </row>
    <row r="204" spans="1:6" ht="22.5">
      <c r="A204" s="384"/>
      <c r="B204" s="385"/>
      <c r="C204" s="386"/>
      <c r="D204" s="387"/>
      <c r="E204" s="388"/>
      <c r="F204" s="387"/>
    </row>
    <row r="205" spans="1:6" ht="22.5">
      <c r="A205" s="389" t="s">
        <v>321</v>
      </c>
      <c r="B205" s="390"/>
      <c r="C205" s="391"/>
      <c r="D205" s="379"/>
      <c r="E205" s="392"/>
      <c r="F205" s="382"/>
    </row>
    <row r="206" spans="1:6" ht="22.5">
      <c r="A206" s="683" t="s">
        <v>365</v>
      </c>
      <c r="B206" s="684"/>
      <c r="C206" s="684"/>
      <c r="D206" s="684"/>
      <c r="E206" s="684"/>
      <c r="F206" s="685"/>
    </row>
    <row r="207" spans="1:6" ht="22.5">
      <c r="A207" s="393"/>
      <c r="B207" s="390"/>
      <c r="C207" s="391"/>
      <c r="D207" s="379"/>
      <c r="E207" s="392"/>
      <c r="F207" s="382"/>
    </row>
    <row r="208" spans="1:6" ht="22.5">
      <c r="A208" s="394"/>
      <c r="B208" s="395"/>
      <c r="C208" s="391"/>
      <c r="D208" s="379"/>
      <c r="E208" s="392"/>
      <c r="F208" s="382"/>
    </row>
    <row r="209" spans="1:6" ht="22.5">
      <c r="A209" s="394"/>
      <c r="B209" s="395"/>
      <c r="C209" s="391"/>
      <c r="D209" s="379"/>
      <c r="E209" s="392"/>
      <c r="F209" s="382"/>
    </row>
    <row r="210" spans="1:6" ht="22.5">
      <c r="A210" s="394"/>
      <c r="B210" s="395"/>
      <c r="C210" s="391"/>
      <c r="D210" s="379"/>
      <c r="E210" s="392"/>
      <c r="F210" s="382"/>
    </row>
    <row r="211" spans="1:6" ht="22.5">
      <c r="A211" s="396"/>
      <c r="B211" s="390"/>
      <c r="C211" s="391"/>
      <c r="D211" s="379"/>
      <c r="E211" s="392"/>
      <c r="F211" s="382"/>
    </row>
    <row r="212" spans="1:6" ht="22.5">
      <c r="A212" s="396"/>
      <c r="B212" s="390"/>
      <c r="C212" s="391"/>
      <c r="D212" s="379"/>
      <c r="E212" s="392"/>
      <c r="F212" s="382"/>
    </row>
    <row r="213" spans="1:6" ht="22.5">
      <c r="A213" s="393" t="s">
        <v>322</v>
      </c>
      <c r="B213" s="391"/>
      <c r="C213" s="391"/>
      <c r="D213" s="379"/>
      <c r="E213" s="391"/>
      <c r="F213" s="375"/>
    </row>
    <row r="214" spans="1:6" ht="22.5">
      <c r="A214" s="393"/>
      <c r="B214" s="391"/>
      <c r="C214" s="391"/>
      <c r="D214" s="379"/>
      <c r="E214" s="391"/>
      <c r="F214" s="375"/>
    </row>
    <row r="215" spans="1:6" ht="22.5">
      <c r="A215" s="683"/>
      <c r="B215" s="684"/>
      <c r="C215" s="684"/>
      <c r="D215" s="684"/>
      <c r="E215" s="684"/>
      <c r="F215" s="685"/>
    </row>
    <row r="216" spans="1:6" ht="22.5">
      <c r="A216" s="393"/>
      <c r="B216" s="390"/>
      <c r="C216" s="391"/>
      <c r="D216" s="379"/>
      <c r="E216" s="392"/>
      <c r="F216" s="382"/>
    </row>
    <row r="217" spans="1:6" ht="22.5">
      <c r="A217" s="384"/>
      <c r="B217" s="397"/>
      <c r="C217" s="397"/>
      <c r="D217" s="397"/>
      <c r="E217" s="397"/>
      <c r="F217" s="398"/>
    </row>
  </sheetData>
  <sheetProtection/>
  <mergeCells count="43">
    <mergeCell ref="A206:F206"/>
    <mergeCell ref="A215:F215"/>
    <mergeCell ref="A190:F190"/>
    <mergeCell ref="A191:F191"/>
    <mergeCell ref="A192:F192"/>
    <mergeCell ref="C194:D194"/>
    <mergeCell ref="E194:F194"/>
    <mergeCell ref="A139:F139"/>
    <mergeCell ref="A116:F116"/>
    <mergeCell ref="C118:D118"/>
    <mergeCell ref="E118:F118"/>
    <mergeCell ref="A130:F130"/>
    <mergeCell ref="A92:F92"/>
    <mergeCell ref="A101:F101"/>
    <mergeCell ref="A114:F114"/>
    <mergeCell ref="A115:F115"/>
    <mergeCell ref="A77:F77"/>
    <mergeCell ref="A78:F78"/>
    <mergeCell ref="C80:D80"/>
    <mergeCell ref="E80:F80"/>
    <mergeCell ref="A1:F1"/>
    <mergeCell ref="A2:F2"/>
    <mergeCell ref="A3:F3"/>
    <mergeCell ref="C5:D5"/>
    <mergeCell ref="E5:F5"/>
    <mergeCell ref="C43:D43"/>
    <mergeCell ref="E43:F43"/>
    <mergeCell ref="A17:F17"/>
    <mergeCell ref="A26:F26"/>
    <mergeCell ref="A38:F38"/>
    <mergeCell ref="A39:F39"/>
    <mergeCell ref="A40:F40"/>
    <mergeCell ref="A41:F41"/>
    <mergeCell ref="A55:F55"/>
    <mergeCell ref="A64:F64"/>
    <mergeCell ref="A168:F168"/>
    <mergeCell ref="A177:F177"/>
    <mergeCell ref="A152:F152"/>
    <mergeCell ref="A153:F153"/>
    <mergeCell ref="A154:F154"/>
    <mergeCell ref="C156:D156"/>
    <mergeCell ref="E156:F156"/>
    <mergeCell ref="A76:F76"/>
  </mergeCells>
  <printOptions/>
  <pageMargins left="0.78" right="0.17" top="0.63" bottom="1" header="0.26" footer="0.5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82"/>
  <sheetViews>
    <sheetView view="pageBreakPreview" zoomScaleSheetLayoutView="100" workbookViewId="0" topLeftCell="A1">
      <selection activeCell="E31" sqref="E31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686" t="s">
        <v>689</v>
      </c>
      <c r="C1" s="686"/>
      <c r="D1" s="686"/>
      <c r="E1" s="686"/>
      <c r="F1" s="686"/>
      <c r="G1" s="686"/>
    </row>
    <row r="2" spans="2:7" ht="22.5">
      <c r="B2" s="686" t="s">
        <v>688</v>
      </c>
      <c r="C2" s="686"/>
      <c r="D2" s="686"/>
      <c r="E2" s="686"/>
      <c r="F2" s="686"/>
      <c r="G2" s="686"/>
    </row>
    <row r="3" spans="2:7" ht="22.5">
      <c r="B3" s="687" t="s">
        <v>320</v>
      </c>
      <c r="C3" s="687"/>
      <c r="D3" s="687"/>
      <c r="E3" s="687"/>
      <c r="F3" s="687"/>
      <c r="G3" s="687"/>
    </row>
    <row r="4" spans="2:7" ht="22.5">
      <c r="B4" s="367" t="s">
        <v>489</v>
      </c>
      <c r="C4" s="367"/>
      <c r="D4" s="367"/>
      <c r="E4" s="367"/>
      <c r="F4" s="367"/>
      <c r="G4" s="367"/>
    </row>
    <row r="5" spans="2:7" ht="22.5">
      <c r="B5" s="368" t="s">
        <v>36</v>
      </c>
      <c r="C5" s="369" t="s">
        <v>35</v>
      </c>
      <c r="D5" s="688" t="s">
        <v>313</v>
      </c>
      <c r="E5" s="689"/>
      <c r="F5" s="690" t="s">
        <v>38</v>
      </c>
      <c r="G5" s="689"/>
    </row>
    <row r="6" spans="2:7" ht="23.25">
      <c r="B6" s="374" t="s">
        <v>15</v>
      </c>
      <c r="C6" s="371"/>
      <c r="D6" s="470">
        <v>5015289</v>
      </c>
      <c r="E6" s="390" t="s">
        <v>687</v>
      </c>
      <c r="F6" s="374"/>
      <c r="G6" s="375"/>
    </row>
    <row r="7" spans="2:7" ht="22.5">
      <c r="B7" s="370" t="s">
        <v>16</v>
      </c>
      <c r="C7" s="377"/>
      <c r="D7" s="378"/>
      <c r="E7" s="379"/>
      <c r="F7" s="378">
        <f>D6</f>
        <v>5015289</v>
      </c>
      <c r="G7" s="410" t="str">
        <f>E6</f>
        <v>96</v>
      </c>
    </row>
    <row r="8" spans="2:7" ht="22.5">
      <c r="B8" s="370"/>
      <c r="C8" s="377"/>
      <c r="D8" s="378"/>
      <c r="E8" s="379"/>
      <c r="F8" s="381"/>
      <c r="G8" s="382"/>
    </row>
    <row r="9" spans="2:7" ht="22.5">
      <c r="B9" s="370"/>
      <c r="C9" s="377"/>
      <c r="D9" s="381"/>
      <c r="E9" s="379"/>
      <c r="F9" s="381"/>
      <c r="G9" s="382"/>
    </row>
    <row r="10" spans="2:7" ht="22.5">
      <c r="B10" s="370"/>
      <c r="C10" s="377"/>
      <c r="D10" s="381"/>
      <c r="E10" s="379"/>
      <c r="F10" s="381"/>
      <c r="G10" s="382"/>
    </row>
    <row r="11" spans="2:7" ht="22.5">
      <c r="B11" s="370"/>
      <c r="C11" s="377"/>
      <c r="D11" s="381"/>
      <c r="E11" s="379"/>
      <c r="F11" s="381"/>
      <c r="G11" s="382"/>
    </row>
    <row r="12" spans="2:7" ht="22.5">
      <c r="B12" s="383"/>
      <c r="C12" s="377"/>
      <c r="D12" s="378"/>
      <c r="E12" s="379"/>
      <c r="F12" s="381"/>
      <c r="G12" s="382"/>
    </row>
    <row r="13" spans="2:7" ht="22.5">
      <c r="B13" s="370"/>
      <c r="C13" s="377"/>
      <c r="D13" s="378"/>
      <c r="E13" s="379"/>
      <c r="F13" s="381"/>
      <c r="G13" s="382"/>
    </row>
    <row r="14" spans="2:7" ht="22.5">
      <c r="B14" s="370"/>
      <c r="C14" s="377"/>
      <c r="D14" s="378"/>
      <c r="E14" s="379"/>
      <c r="F14" s="381"/>
      <c r="G14" s="403"/>
    </row>
    <row r="15" spans="2:7" ht="22.5">
      <c r="B15" s="370"/>
      <c r="C15" s="377"/>
      <c r="D15" s="378"/>
      <c r="E15" s="379"/>
      <c r="F15" s="381"/>
      <c r="G15" s="382"/>
    </row>
    <row r="16" spans="2:7" ht="22.5">
      <c r="B16" s="370"/>
      <c r="C16" s="377"/>
      <c r="D16" s="378"/>
      <c r="E16" s="379"/>
      <c r="F16" s="381"/>
      <c r="G16" s="382"/>
    </row>
    <row r="17" spans="2:7" ht="22.5">
      <c r="B17" s="370"/>
      <c r="C17" s="377"/>
      <c r="D17" s="378"/>
      <c r="E17" s="379"/>
      <c r="F17" s="381"/>
      <c r="G17" s="382"/>
    </row>
    <row r="18" spans="2:7" ht="22.5">
      <c r="B18" s="370"/>
      <c r="C18" s="377"/>
      <c r="D18" s="381"/>
      <c r="E18" s="379"/>
      <c r="F18" s="381"/>
      <c r="G18" s="382"/>
    </row>
    <row r="19" spans="2:7" ht="22.5">
      <c r="B19" s="370"/>
      <c r="C19" s="377"/>
      <c r="D19" s="378"/>
      <c r="E19" s="379"/>
      <c r="F19" s="381"/>
      <c r="G19" s="382"/>
    </row>
    <row r="20" spans="2:7" ht="22.5">
      <c r="B20" s="370"/>
      <c r="C20" s="377"/>
      <c r="D20" s="378"/>
      <c r="E20" s="379"/>
      <c r="F20" s="381"/>
      <c r="G20" s="382"/>
    </row>
    <row r="21" spans="2:7" ht="22.5">
      <c r="B21" s="370"/>
      <c r="C21" s="377"/>
      <c r="D21" s="378"/>
      <c r="E21" s="379"/>
      <c r="F21" s="378"/>
      <c r="G21" s="382"/>
    </row>
    <row r="22" spans="2:7" ht="22.5">
      <c r="B22" s="370"/>
      <c r="C22" s="377"/>
      <c r="D22" s="378"/>
      <c r="E22" s="379"/>
      <c r="F22" s="378"/>
      <c r="G22" s="382"/>
    </row>
    <row r="23" spans="2:7" ht="22.5">
      <c r="B23" s="370"/>
      <c r="C23" s="377"/>
      <c r="D23" s="378"/>
      <c r="E23" s="379"/>
      <c r="F23" s="378"/>
      <c r="G23" s="382"/>
    </row>
    <row r="24" spans="2:7" ht="22.5">
      <c r="B24" s="370"/>
      <c r="C24" s="377"/>
      <c r="D24" s="370"/>
      <c r="E24" s="379"/>
      <c r="F24" s="378"/>
      <c r="G24" s="382"/>
    </row>
    <row r="25" spans="2:7" ht="22.5">
      <c r="B25" s="370"/>
      <c r="C25" s="377"/>
      <c r="D25" s="370"/>
      <c r="E25" s="379"/>
      <c r="F25" s="378"/>
      <c r="G25" s="382"/>
    </row>
    <row r="26" spans="2:7" ht="22.5">
      <c r="B26" s="384"/>
      <c r="C26" s="385"/>
      <c r="D26" s="386"/>
      <c r="E26" s="387"/>
      <c r="F26" s="388"/>
      <c r="G26" s="387"/>
    </row>
    <row r="27" spans="2:7" ht="22.5">
      <c r="B27" s="389" t="s">
        <v>321</v>
      </c>
      <c r="C27" s="390"/>
      <c r="D27" s="391"/>
      <c r="E27" s="379"/>
      <c r="F27" s="392"/>
      <c r="G27" s="382"/>
    </row>
    <row r="28" spans="2:7" ht="22.5">
      <c r="B28" s="683" t="s">
        <v>17</v>
      </c>
      <c r="C28" s="684"/>
      <c r="D28" s="684"/>
      <c r="E28" s="684"/>
      <c r="F28" s="684"/>
      <c r="G28" s="685"/>
    </row>
    <row r="29" spans="2:7" ht="22.5">
      <c r="B29" s="393" t="s">
        <v>690</v>
      </c>
      <c r="C29" s="390"/>
      <c r="D29" s="391"/>
      <c r="E29" s="379"/>
      <c r="F29" s="392"/>
      <c r="G29" s="382"/>
    </row>
    <row r="30" spans="2:7" ht="22.5">
      <c r="B30" s="393"/>
      <c r="C30" s="390"/>
      <c r="D30" s="391"/>
      <c r="E30" s="379"/>
      <c r="F30" s="392"/>
      <c r="G30" s="382"/>
    </row>
    <row r="31" spans="2:7" ht="22.5">
      <c r="B31" s="393" t="s">
        <v>318</v>
      </c>
      <c r="C31" s="391"/>
      <c r="D31" s="391"/>
      <c r="E31" s="379"/>
      <c r="F31" s="391"/>
      <c r="G31" s="375"/>
    </row>
    <row r="32" spans="2:7" ht="22.5">
      <c r="B32" s="393"/>
      <c r="C32" s="391"/>
      <c r="D32" s="391"/>
      <c r="E32" s="379"/>
      <c r="F32" s="391"/>
      <c r="G32" s="375"/>
    </row>
    <row r="33" spans="2:7" ht="22.5">
      <c r="B33" s="393"/>
      <c r="C33" s="391"/>
      <c r="D33" s="391"/>
      <c r="E33" s="379"/>
      <c r="F33" s="391"/>
      <c r="G33" s="375"/>
    </row>
    <row r="34" spans="2:7" ht="22.5">
      <c r="B34" s="384"/>
      <c r="C34" s="397"/>
      <c r="D34" s="397"/>
      <c r="E34" s="397"/>
      <c r="F34" s="397"/>
      <c r="G34" s="398"/>
    </row>
    <row r="36" spans="2:7" ht="22.5">
      <c r="B36" s="686" t="s">
        <v>18</v>
      </c>
      <c r="C36" s="686"/>
      <c r="D36" s="686"/>
      <c r="E36" s="686"/>
      <c r="F36" s="686"/>
      <c r="G36" s="686"/>
    </row>
    <row r="37" spans="2:7" ht="22.5">
      <c r="B37" s="686" t="s">
        <v>19</v>
      </c>
      <c r="C37" s="686"/>
      <c r="D37" s="686"/>
      <c r="E37" s="686"/>
      <c r="F37" s="686"/>
      <c r="G37" s="686"/>
    </row>
    <row r="38" spans="2:7" ht="22.5">
      <c r="B38" s="687" t="s">
        <v>320</v>
      </c>
      <c r="C38" s="687"/>
      <c r="D38" s="687"/>
      <c r="E38" s="687"/>
      <c r="F38" s="687"/>
      <c r="G38" s="687"/>
    </row>
    <row r="39" spans="2:7" ht="22.5">
      <c r="B39" s="367" t="s">
        <v>312</v>
      </c>
      <c r="C39" s="367"/>
      <c r="D39" s="367"/>
      <c r="E39" s="367"/>
      <c r="F39" s="367"/>
      <c r="G39" s="367"/>
    </row>
    <row r="40" spans="2:7" ht="22.5">
      <c r="B40" s="368" t="s">
        <v>36</v>
      </c>
      <c r="C40" s="369" t="s">
        <v>35</v>
      </c>
      <c r="D40" s="688" t="s">
        <v>313</v>
      </c>
      <c r="E40" s="689"/>
      <c r="F40" s="690" t="s">
        <v>38</v>
      </c>
      <c r="G40" s="689"/>
    </row>
    <row r="41" spans="2:7" ht="22.5">
      <c r="B41" s="374" t="s">
        <v>15</v>
      </c>
      <c r="C41" s="371"/>
      <c r="D41" s="400">
        <v>2478648</v>
      </c>
      <c r="E41" s="406">
        <v>79</v>
      </c>
      <c r="F41" s="374"/>
      <c r="G41" s="375"/>
    </row>
    <row r="42" spans="2:7" ht="22.5">
      <c r="B42" s="370" t="s">
        <v>16</v>
      </c>
      <c r="C42" s="377"/>
      <c r="D42" s="378"/>
      <c r="E42" s="379"/>
      <c r="F42" s="378">
        <f>D41</f>
        <v>2478648</v>
      </c>
      <c r="G42" s="407">
        <f>E41</f>
        <v>79</v>
      </c>
    </row>
    <row r="43" spans="2:7" ht="22.5">
      <c r="B43" s="370"/>
      <c r="C43" s="377"/>
      <c r="D43" s="378"/>
      <c r="E43" s="379"/>
      <c r="F43" s="381"/>
      <c r="G43" s="382"/>
    </row>
    <row r="44" spans="2:7" ht="22.5">
      <c r="B44" s="370"/>
      <c r="C44" s="377"/>
      <c r="D44" s="381"/>
      <c r="E44" s="379"/>
      <c r="F44" s="381"/>
      <c r="G44" s="382"/>
    </row>
    <row r="45" spans="2:7" ht="22.5">
      <c r="B45" s="370"/>
      <c r="C45" s="377"/>
      <c r="D45" s="381"/>
      <c r="E45" s="379"/>
      <c r="F45" s="381"/>
      <c r="G45" s="382"/>
    </row>
    <row r="46" spans="2:7" ht="22.5">
      <c r="B46" s="370"/>
      <c r="C46" s="377"/>
      <c r="D46" s="381"/>
      <c r="E46" s="379"/>
      <c r="F46" s="381"/>
      <c r="G46" s="382"/>
    </row>
    <row r="47" spans="2:7" ht="22.5">
      <c r="B47" s="370"/>
      <c r="C47" s="377"/>
      <c r="D47" s="378"/>
      <c r="E47" s="379"/>
      <c r="F47" s="381"/>
      <c r="G47" s="382"/>
    </row>
    <row r="48" spans="2:7" ht="22.5">
      <c r="B48" s="370"/>
      <c r="C48" s="377"/>
      <c r="D48" s="378"/>
      <c r="E48" s="379"/>
      <c r="F48" s="381"/>
      <c r="G48" s="382"/>
    </row>
    <row r="49" spans="2:7" ht="22.5">
      <c r="B49" s="370"/>
      <c r="C49" s="377"/>
      <c r="D49" s="378"/>
      <c r="E49" s="379"/>
      <c r="F49" s="378"/>
      <c r="G49" s="382"/>
    </row>
    <row r="50" spans="2:7" ht="22.5">
      <c r="B50" s="370"/>
      <c r="C50" s="377"/>
      <c r="D50" s="378"/>
      <c r="E50" s="379"/>
      <c r="F50" s="378"/>
      <c r="G50" s="382"/>
    </row>
    <row r="51" spans="2:7" ht="22.5">
      <c r="B51" s="370"/>
      <c r="C51" s="377"/>
      <c r="D51" s="378"/>
      <c r="E51" s="379"/>
      <c r="F51" s="378"/>
      <c r="G51" s="382"/>
    </row>
    <row r="52" spans="2:7" ht="22.5">
      <c r="B52" s="370"/>
      <c r="C52" s="377"/>
      <c r="D52" s="370"/>
      <c r="E52" s="379"/>
      <c r="F52" s="378"/>
      <c r="G52" s="382"/>
    </row>
    <row r="53" spans="2:7" ht="22.5">
      <c r="B53" s="370"/>
      <c r="C53" s="377"/>
      <c r="D53" s="370"/>
      <c r="E53" s="379"/>
      <c r="F53" s="378"/>
      <c r="G53" s="382"/>
    </row>
    <row r="54" spans="2:7" ht="22.5">
      <c r="B54" s="384"/>
      <c r="C54" s="385"/>
      <c r="D54" s="386"/>
      <c r="E54" s="387"/>
      <c r="F54" s="388"/>
      <c r="G54" s="387"/>
    </row>
    <row r="55" spans="2:7" ht="22.5">
      <c r="B55" s="389" t="s">
        <v>321</v>
      </c>
      <c r="C55" s="390"/>
      <c r="D55" s="391"/>
      <c r="E55" s="379"/>
      <c r="F55" s="392"/>
      <c r="G55" s="382"/>
    </row>
    <row r="56" spans="2:7" ht="22.5">
      <c r="B56" s="683" t="s">
        <v>17</v>
      </c>
      <c r="C56" s="684"/>
      <c r="D56" s="684"/>
      <c r="E56" s="684"/>
      <c r="F56" s="684"/>
      <c r="G56" s="685"/>
    </row>
    <row r="57" spans="2:7" ht="22.5">
      <c r="B57" s="393" t="s">
        <v>20</v>
      </c>
      <c r="C57" s="390"/>
      <c r="D57" s="391"/>
      <c r="E57" s="379"/>
      <c r="F57" s="392"/>
      <c r="G57" s="382"/>
    </row>
    <row r="58" spans="2:7" ht="22.5">
      <c r="B58" s="393"/>
      <c r="C58" s="390"/>
      <c r="D58" s="391"/>
      <c r="E58" s="379"/>
      <c r="F58" s="392"/>
      <c r="G58" s="382"/>
    </row>
    <row r="59" spans="2:7" ht="22.5">
      <c r="B59" s="393" t="s">
        <v>318</v>
      </c>
      <c r="C59" s="391"/>
      <c r="D59" s="391"/>
      <c r="E59" s="379"/>
      <c r="F59" s="391"/>
      <c r="G59" s="375"/>
    </row>
    <row r="60" spans="2:7" ht="22.5">
      <c r="B60" s="393"/>
      <c r="C60" s="391"/>
      <c r="D60" s="391"/>
      <c r="E60" s="379"/>
      <c r="F60" s="391"/>
      <c r="G60" s="375"/>
    </row>
    <row r="61" spans="2:7" ht="22.5">
      <c r="B61" s="384"/>
      <c r="C61" s="397"/>
      <c r="D61" s="397"/>
      <c r="E61" s="397"/>
      <c r="F61" s="397"/>
      <c r="G61" s="398"/>
    </row>
    <row r="73" spans="2:7" ht="22.5">
      <c r="B73" s="686" t="s">
        <v>2</v>
      </c>
      <c r="C73" s="686"/>
      <c r="D73" s="686"/>
      <c r="E73" s="686"/>
      <c r="F73" s="686"/>
      <c r="G73" s="686"/>
    </row>
    <row r="74" spans="2:7" ht="22.5">
      <c r="B74" s="686" t="s">
        <v>21</v>
      </c>
      <c r="C74" s="686"/>
      <c r="D74" s="686"/>
      <c r="E74" s="686"/>
      <c r="F74" s="686"/>
      <c r="G74" s="686"/>
    </row>
    <row r="75" spans="2:7" ht="22.5">
      <c r="B75" s="687" t="s">
        <v>320</v>
      </c>
      <c r="C75" s="687"/>
      <c r="D75" s="687"/>
      <c r="E75" s="687"/>
      <c r="F75" s="687"/>
      <c r="G75" s="687"/>
    </row>
    <row r="76" spans="2:7" ht="22.5">
      <c r="B76" s="367" t="s">
        <v>312</v>
      </c>
      <c r="C76" s="367"/>
      <c r="D76" s="367"/>
      <c r="E76" s="367"/>
      <c r="F76" s="367"/>
      <c r="G76" s="367"/>
    </row>
    <row r="77" spans="2:7" ht="22.5">
      <c r="B77" s="368" t="s">
        <v>36</v>
      </c>
      <c r="C77" s="369" t="s">
        <v>35</v>
      </c>
      <c r="D77" s="688" t="s">
        <v>313</v>
      </c>
      <c r="E77" s="689"/>
      <c r="F77" s="690" t="s">
        <v>38</v>
      </c>
      <c r="G77" s="689"/>
    </row>
    <row r="78" spans="2:7" ht="22.5">
      <c r="B78" s="374" t="s">
        <v>15</v>
      </c>
      <c r="C78" s="371"/>
      <c r="D78" s="400">
        <v>2288710</v>
      </c>
      <c r="E78" s="406">
        <v>77</v>
      </c>
      <c r="F78" s="374"/>
      <c r="G78" s="375"/>
    </row>
    <row r="79" spans="2:7" ht="22.5">
      <c r="B79" s="370" t="s">
        <v>16</v>
      </c>
      <c r="C79" s="377"/>
      <c r="D79" s="378"/>
      <c r="E79" s="379"/>
      <c r="F79" s="378">
        <f>D78</f>
        <v>2288710</v>
      </c>
      <c r="G79" s="407">
        <f>E78</f>
        <v>77</v>
      </c>
    </row>
    <row r="80" spans="2:7" ht="22.5">
      <c r="B80" s="370"/>
      <c r="C80" s="377"/>
      <c r="D80" s="378"/>
      <c r="E80" s="379"/>
      <c r="F80" s="381"/>
      <c r="G80" s="382"/>
    </row>
    <row r="81" spans="2:7" ht="22.5">
      <c r="B81" s="370"/>
      <c r="C81" s="377"/>
      <c r="D81" s="381"/>
      <c r="E81" s="379"/>
      <c r="F81" s="381"/>
      <c r="G81" s="382"/>
    </row>
    <row r="82" spans="2:7" ht="22.5">
      <c r="B82" s="370"/>
      <c r="C82" s="377"/>
      <c r="D82" s="381"/>
      <c r="E82" s="379"/>
      <c r="F82" s="381"/>
      <c r="G82" s="382"/>
    </row>
    <row r="83" spans="2:7" ht="22.5">
      <c r="B83" s="370"/>
      <c r="C83" s="377"/>
      <c r="D83" s="381"/>
      <c r="E83" s="379"/>
      <c r="F83" s="381"/>
      <c r="G83" s="382"/>
    </row>
    <row r="84" spans="2:7" ht="22.5">
      <c r="B84" s="370"/>
      <c r="C84" s="377"/>
      <c r="D84" s="378"/>
      <c r="E84" s="379"/>
      <c r="F84" s="378"/>
      <c r="G84" s="382"/>
    </row>
    <row r="85" spans="2:7" ht="22.5">
      <c r="B85" s="370"/>
      <c r="C85" s="377"/>
      <c r="D85" s="378"/>
      <c r="E85" s="379"/>
      <c r="F85" s="378"/>
      <c r="G85" s="382"/>
    </row>
    <row r="86" spans="2:7" ht="22.5">
      <c r="B86" s="370"/>
      <c r="C86" s="377"/>
      <c r="D86" s="378"/>
      <c r="E86" s="379"/>
      <c r="F86" s="378"/>
      <c r="G86" s="382"/>
    </row>
    <row r="87" spans="2:7" ht="22.5">
      <c r="B87" s="370"/>
      <c r="C87" s="377"/>
      <c r="D87" s="370"/>
      <c r="E87" s="379"/>
      <c r="F87" s="378"/>
      <c r="G87" s="382"/>
    </row>
    <row r="88" spans="2:7" ht="22.5">
      <c r="B88" s="370"/>
      <c r="C88" s="377"/>
      <c r="D88" s="370"/>
      <c r="E88" s="379"/>
      <c r="F88" s="378"/>
      <c r="G88" s="382"/>
    </row>
    <row r="89" spans="2:7" ht="22.5">
      <c r="B89" s="384"/>
      <c r="C89" s="385"/>
      <c r="D89" s="386"/>
      <c r="E89" s="387"/>
      <c r="F89" s="388"/>
      <c r="G89" s="387"/>
    </row>
    <row r="90" spans="2:7" ht="22.5">
      <c r="B90" s="389" t="s">
        <v>321</v>
      </c>
      <c r="C90" s="390"/>
      <c r="D90" s="391"/>
      <c r="E90" s="379"/>
      <c r="F90" s="392"/>
      <c r="G90" s="382"/>
    </row>
    <row r="91" spans="2:7" ht="22.5">
      <c r="B91" s="683" t="s">
        <v>17</v>
      </c>
      <c r="C91" s="684"/>
      <c r="D91" s="684"/>
      <c r="E91" s="684"/>
      <c r="F91" s="684"/>
      <c r="G91" s="685"/>
    </row>
    <row r="92" spans="2:7" ht="22.5">
      <c r="B92" s="393" t="s">
        <v>22</v>
      </c>
      <c r="C92" s="390"/>
      <c r="D92" s="391"/>
      <c r="E92" s="379"/>
      <c r="F92" s="392"/>
      <c r="G92" s="382"/>
    </row>
    <row r="93" spans="2:7" ht="22.5">
      <c r="B93" s="393"/>
      <c r="C93" s="390"/>
      <c r="D93" s="391"/>
      <c r="E93" s="379"/>
      <c r="F93" s="392"/>
      <c r="G93" s="382"/>
    </row>
    <row r="94" spans="2:7" ht="22.5">
      <c r="B94" s="393"/>
      <c r="C94" s="390"/>
      <c r="D94" s="391"/>
      <c r="E94" s="379"/>
      <c r="F94" s="392"/>
      <c r="G94" s="382"/>
    </row>
    <row r="95" spans="2:7" ht="22.5">
      <c r="B95" s="393"/>
      <c r="C95" s="390"/>
      <c r="D95" s="391"/>
      <c r="E95" s="379"/>
      <c r="F95" s="392"/>
      <c r="G95" s="382"/>
    </row>
    <row r="96" spans="2:7" ht="22.5">
      <c r="B96" s="393" t="s">
        <v>318</v>
      </c>
      <c r="C96" s="391"/>
      <c r="D96" s="391"/>
      <c r="E96" s="379"/>
      <c r="F96" s="391"/>
      <c r="G96" s="375"/>
    </row>
    <row r="97" spans="2:7" ht="22.5">
      <c r="B97" s="393"/>
      <c r="C97" s="391"/>
      <c r="D97" s="391"/>
      <c r="E97" s="379"/>
      <c r="F97" s="391"/>
      <c r="G97" s="375"/>
    </row>
    <row r="98" spans="2:7" ht="22.5">
      <c r="B98" s="393"/>
      <c r="C98" s="391"/>
      <c r="D98" s="391"/>
      <c r="E98" s="379"/>
      <c r="F98" s="391"/>
      <c r="G98" s="375"/>
    </row>
    <row r="99" spans="2:7" ht="22.5">
      <c r="B99" s="393"/>
      <c r="C99" s="391"/>
      <c r="D99" s="391"/>
      <c r="E99" s="379"/>
      <c r="F99" s="391"/>
      <c r="G99" s="375"/>
    </row>
    <row r="100" spans="2:7" ht="22.5">
      <c r="B100" s="393"/>
      <c r="C100" s="391"/>
      <c r="D100" s="391"/>
      <c r="E100" s="379"/>
      <c r="F100" s="391"/>
      <c r="G100" s="375"/>
    </row>
    <row r="101" spans="2:7" ht="22.5">
      <c r="B101" s="393"/>
      <c r="C101" s="391"/>
      <c r="D101" s="391"/>
      <c r="E101" s="379"/>
      <c r="F101" s="391"/>
      <c r="G101" s="375"/>
    </row>
    <row r="102" spans="2:7" ht="22.5">
      <c r="B102" s="384"/>
      <c r="C102" s="397"/>
      <c r="D102" s="397"/>
      <c r="E102" s="397"/>
      <c r="F102" s="397"/>
      <c r="G102" s="398"/>
    </row>
    <row r="107" spans="2:7" ht="22.5">
      <c r="B107" s="686" t="s">
        <v>18</v>
      </c>
      <c r="C107" s="686"/>
      <c r="D107" s="686"/>
      <c r="E107" s="686"/>
      <c r="F107" s="686"/>
      <c r="G107" s="686"/>
    </row>
    <row r="108" spans="2:7" ht="22.5">
      <c r="B108" s="686" t="s">
        <v>23</v>
      </c>
      <c r="C108" s="686"/>
      <c r="D108" s="686"/>
      <c r="E108" s="686"/>
      <c r="F108" s="686"/>
      <c r="G108" s="686"/>
    </row>
    <row r="109" spans="2:7" ht="22.5">
      <c r="B109" s="687" t="s">
        <v>320</v>
      </c>
      <c r="C109" s="687"/>
      <c r="D109" s="687"/>
      <c r="E109" s="687"/>
      <c r="F109" s="687"/>
      <c r="G109" s="687"/>
    </row>
    <row r="110" spans="2:7" ht="22.5">
      <c r="B110" s="367" t="s">
        <v>312</v>
      </c>
      <c r="C110" s="367"/>
      <c r="D110" s="367"/>
      <c r="E110" s="367"/>
      <c r="F110" s="367"/>
      <c r="G110" s="367"/>
    </row>
    <row r="111" spans="2:7" ht="22.5">
      <c r="B111" s="368" t="s">
        <v>36</v>
      </c>
      <c r="C111" s="369" t="s">
        <v>35</v>
      </c>
      <c r="D111" s="688" t="s">
        <v>313</v>
      </c>
      <c r="E111" s="689"/>
      <c r="F111" s="690" t="s">
        <v>38</v>
      </c>
      <c r="G111" s="689"/>
    </row>
    <row r="112" spans="2:7" ht="22.5">
      <c r="B112" s="374" t="s">
        <v>15</v>
      </c>
      <c r="C112" s="371"/>
      <c r="D112" s="400">
        <v>3113833.38</v>
      </c>
      <c r="E112" s="406">
        <v>94</v>
      </c>
      <c r="F112" s="374"/>
      <c r="G112" s="375"/>
    </row>
    <row r="113" spans="2:7" ht="22.5">
      <c r="B113" s="370" t="s">
        <v>16</v>
      </c>
      <c r="C113" s="377"/>
      <c r="D113" s="378"/>
      <c r="E113" s="379"/>
      <c r="F113" s="378">
        <f>D112</f>
        <v>3113833.38</v>
      </c>
      <c r="G113" s="407">
        <f>E112</f>
        <v>94</v>
      </c>
    </row>
    <row r="114" spans="2:7" ht="22.5">
      <c r="B114" s="370"/>
      <c r="C114" s="377"/>
      <c r="D114" s="378"/>
      <c r="E114" s="379"/>
      <c r="F114" s="381"/>
      <c r="G114" s="382"/>
    </row>
    <row r="115" spans="2:7" ht="22.5">
      <c r="B115" s="370"/>
      <c r="C115" s="377"/>
      <c r="D115" s="381"/>
      <c r="E115" s="379"/>
      <c r="F115" s="381"/>
      <c r="G115" s="382"/>
    </row>
    <row r="116" spans="2:7" ht="22.5">
      <c r="B116" s="370"/>
      <c r="C116" s="377"/>
      <c r="D116" s="381"/>
      <c r="E116" s="379"/>
      <c r="F116" s="381"/>
      <c r="G116" s="382"/>
    </row>
    <row r="117" spans="2:7" ht="22.5">
      <c r="B117" s="370"/>
      <c r="C117" s="377"/>
      <c r="D117" s="381"/>
      <c r="E117" s="379"/>
      <c r="F117" s="381"/>
      <c r="G117" s="382"/>
    </row>
    <row r="118" spans="2:7" ht="22.5">
      <c r="B118" s="370"/>
      <c r="C118" s="377"/>
      <c r="D118" s="378"/>
      <c r="E118" s="379"/>
      <c r="F118" s="381"/>
      <c r="G118" s="382"/>
    </row>
    <row r="119" spans="2:7" ht="22.5">
      <c r="B119" s="370"/>
      <c r="C119" s="377"/>
      <c r="D119" s="378"/>
      <c r="E119" s="379"/>
      <c r="F119" s="381"/>
      <c r="G119" s="382"/>
    </row>
    <row r="120" spans="2:7" ht="22.5">
      <c r="B120" s="370"/>
      <c r="C120" s="377"/>
      <c r="D120" s="378"/>
      <c r="E120" s="379"/>
      <c r="F120" s="378"/>
      <c r="G120" s="382"/>
    </row>
    <row r="121" spans="2:7" ht="22.5">
      <c r="B121" s="370"/>
      <c r="C121" s="377"/>
      <c r="D121" s="378"/>
      <c r="E121" s="379"/>
      <c r="F121" s="378"/>
      <c r="G121" s="382"/>
    </row>
    <row r="122" spans="2:7" ht="22.5">
      <c r="B122" s="370"/>
      <c r="C122" s="377"/>
      <c r="D122" s="378"/>
      <c r="E122" s="379"/>
      <c r="F122" s="378"/>
      <c r="G122" s="382"/>
    </row>
    <row r="123" spans="2:7" ht="22.5">
      <c r="B123" s="370"/>
      <c r="C123" s="377"/>
      <c r="D123" s="370"/>
      <c r="E123" s="379"/>
      <c r="F123" s="378"/>
      <c r="G123" s="382"/>
    </row>
    <row r="124" spans="2:7" ht="22.5">
      <c r="B124" s="370"/>
      <c r="C124" s="377"/>
      <c r="D124" s="370"/>
      <c r="E124" s="379"/>
      <c r="F124" s="378"/>
      <c r="G124" s="382"/>
    </row>
    <row r="125" spans="2:7" ht="22.5">
      <c r="B125" s="384"/>
      <c r="C125" s="385"/>
      <c r="D125" s="386"/>
      <c r="E125" s="387"/>
      <c r="F125" s="388"/>
      <c r="G125" s="387"/>
    </row>
    <row r="126" spans="2:7" ht="22.5">
      <c r="B126" s="389" t="s">
        <v>321</v>
      </c>
      <c r="C126" s="390"/>
      <c r="D126" s="391"/>
      <c r="E126" s="379"/>
      <c r="F126" s="392"/>
      <c r="G126" s="382"/>
    </row>
    <row r="127" spans="2:7" ht="22.5">
      <c r="B127" s="683" t="s">
        <v>17</v>
      </c>
      <c r="C127" s="684"/>
      <c r="D127" s="684"/>
      <c r="E127" s="684"/>
      <c r="F127" s="684"/>
      <c r="G127" s="685"/>
    </row>
    <row r="128" spans="2:7" ht="22.5">
      <c r="B128" s="393" t="s">
        <v>24</v>
      </c>
      <c r="C128" s="390"/>
      <c r="D128" s="391"/>
      <c r="E128" s="379"/>
      <c r="F128" s="392"/>
      <c r="G128" s="382"/>
    </row>
    <row r="129" spans="2:7" ht="22.5">
      <c r="B129" s="393"/>
      <c r="C129" s="390"/>
      <c r="D129" s="391"/>
      <c r="E129" s="379"/>
      <c r="F129" s="392"/>
      <c r="G129" s="382"/>
    </row>
    <row r="130" spans="2:7" ht="22.5">
      <c r="B130" s="393"/>
      <c r="C130" s="390"/>
      <c r="D130" s="391"/>
      <c r="E130" s="379"/>
      <c r="F130" s="392"/>
      <c r="G130" s="382"/>
    </row>
    <row r="131" spans="2:7" ht="22.5">
      <c r="B131" s="393"/>
      <c r="C131" s="390"/>
      <c r="D131" s="391"/>
      <c r="E131" s="379"/>
      <c r="F131" s="392"/>
      <c r="G131" s="382"/>
    </row>
    <row r="132" spans="2:7" ht="22.5">
      <c r="B132" s="393" t="s">
        <v>318</v>
      </c>
      <c r="C132" s="391"/>
      <c r="D132" s="391"/>
      <c r="E132" s="379"/>
      <c r="F132" s="391"/>
      <c r="G132" s="375"/>
    </row>
    <row r="133" spans="2:7" ht="22.5">
      <c r="B133" s="393"/>
      <c r="C133" s="391"/>
      <c r="D133" s="391"/>
      <c r="E133" s="379"/>
      <c r="F133" s="391"/>
      <c r="G133" s="375"/>
    </row>
    <row r="134" spans="2:7" ht="22.5">
      <c r="B134" s="393"/>
      <c r="C134" s="391"/>
      <c r="D134" s="391"/>
      <c r="E134" s="379"/>
      <c r="F134" s="391"/>
      <c r="G134" s="375"/>
    </row>
    <row r="135" spans="2:7" ht="22.5">
      <c r="B135" s="393"/>
      <c r="C135" s="391"/>
      <c r="D135" s="391"/>
      <c r="E135" s="379"/>
      <c r="F135" s="391"/>
      <c r="G135" s="375"/>
    </row>
    <row r="136" spans="2:7" ht="22.5">
      <c r="B136" s="393"/>
      <c r="C136" s="391"/>
      <c r="D136" s="391"/>
      <c r="E136" s="379"/>
      <c r="F136" s="391"/>
      <c r="G136" s="375"/>
    </row>
    <row r="137" spans="2:7" ht="22.5">
      <c r="B137" s="393"/>
      <c r="C137" s="391"/>
      <c r="D137" s="391"/>
      <c r="E137" s="379"/>
      <c r="F137" s="391"/>
      <c r="G137" s="375"/>
    </row>
    <row r="138" spans="2:7" ht="22.5">
      <c r="B138" s="384"/>
      <c r="C138" s="397"/>
      <c r="D138" s="397"/>
      <c r="E138" s="397"/>
      <c r="F138" s="397"/>
      <c r="G138" s="398"/>
    </row>
    <row r="141" spans="2:7" ht="22.5">
      <c r="B141" s="686" t="s">
        <v>7</v>
      </c>
      <c r="C141" s="686"/>
      <c r="D141" s="686"/>
      <c r="E141" s="686"/>
      <c r="F141" s="686"/>
      <c r="G141" s="686"/>
    </row>
    <row r="142" spans="2:7" ht="22.5">
      <c r="B142" s="686" t="s">
        <v>25</v>
      </c>
      <c r="C142" s="686"/>
      <c r="D142" s="686"/>
      <c r="E142" s="686"/>
      <c r="F142" s="686"/>
      <c r="G142" s="686"/>
    </row>
    <row r="143" spans="2:7" ht="22.5">
      <c r="B143" s="687" t="s">
        <v>320</v>
      </c>
      <c r="C143" s="687"/>
      <c r="D143" s="687"/>
      <c r="E143" s="687"/>
      <c r="F143" s="687"/>
      <c r="G143" s="687"/>
    </row>
    <row r="144" spans="2:7" ht="22.5">
      <c r="B144" s="367" t="s">
        <v>312</v>
      </c>
      <c r="C144" s="367"/>
      <c r="D144" s="367"/>
      <c r="E144" s="367"/>
      <c r="F144" s="367"/>
      <c r="G144" s="367"/>
    </row>
    <row r="145" spans="2:7" ht="22.5">
      <c r="B145" s="368" t="s">
        <v>36</v>
      </c>
      <c r="C145" s="369" t="s">
        <v>35</v>
      </c>
      <c r="D145" s="688" t="s">
        <v>313</v>
      </c>
      <c r="E145" s="689"/>
      <c r="F145" s="690" t="s">
        <v>38</v>
      </c>
      <c r="G145" s="689"/>
    </row>
    <row r="146" spans="2:7" ht="22.5">
      <c r="B146" s="374" t="s">
        <v>15</v>
      </c>
      <c r="C146" s="371"/>
      <c r="D146" s="400">
        <v>4507345</v>
      </c>
      <c r="E146" s="406">
        <v>94</v>
      </c>
      <c r="F146" s="374"/>
      <c r="G146" s="375"/>
    </row>
    <row r="147" spans="2:7" ht="22.5">
      <c r="B147" s="370" t="s">
        <v>16</v>
      </c>
      <c r="C147" s="377"/>
      <c r="D147" s="378"/>
      <c r="E147" s="379"/>
      <c r="F147" s="378">
        <f>D146</f>
        <v>4507345</v>
      </c>
      <c r="G147" s="407">
        <f>E146</f>
        <v>94</v>
      </c>
    </row>
    <row r="148" spans="2:7" ht="22.5">
      <c r="B148" s="370"/>
      <c r="C148" s="377"/>
      <c r="D148" s="378"/>
      <c r="E148" s="379"/>
      <c r="F148" s="381"/>
      <c r="G148" s="382"/>
    </row>
    <row r="149" spans="2:7" ht="22.5">
      <c r="B149" s="370"/>
      <c r="C149" s="377"/>
      <c r="D149" s="381"/>
      <c r="E149" s="379"/>
      <c r="F149" s="381"/>
      <c r="G149" s="382"/>
    </row>
    <row r="150" spans="2:7" ht="22.5">
      <c r="B150" s="370"/>
      <c r="C150" s="377"/>
      <c r="D150" s="381"/>
      <c r="E150" s="379"/>
      <c r="F150" s="381"/>
      <c r="G150" s="382"/>
    </row>
    <row r="151" spans="2:7" ht="22.5">
      <c r="B151" s="370"/>
      <c r="C151" s="377"/>
      <c r="D151" s="381"/>
      <c r="E151" s="379"/>
      <c r="F151" s="381"/>
      <c r="G151" s="382"/>
    </row>
    <row r="152" spans="2:7" ht="22.5">
      <c r="B152" s="370"/>
      <c r="C152" s="377"/>
      <c r="D152" s="378"/>
      <c r="E152" s="379"/>
      <c r="F152" s="381"/>
      <c r="G152" s="382"/>
    </row>
    <row r="153" spans="2:7" ht="22.5">
      <c r="B153" s="370"/>
      <c r="C153" s="377"/>
      <c r="D153" s="378"/>
      <c r="E153" s="379"/>
      <c r="F153" s="381"/>
      <c r="G153" s="382"/>
    </row>
    <row r="154" spans="2:7" ht="22.5">
      <c r="B154" s="370"/>
      <c r="C154" s="377"/>
      <c r="D154" s="378"/>
      <c r="E154" s="379"/>
      <c r="F154" s="378"/>
      <c r="G154" s="382"/>
    </row>
    <row r="155" spans="2:7" ht="22.5">
      <c r="B155" s="370"/>
      <c r="C155" s="377"/>
      <c r="D155" s="378"/>
      <c r="E155" s="379"/>
      <c r="F155" s="378"/>
      <c r="G155" s="382"/>
    </row>
    <row r="156" spans="2:7" ht="22.5">
      <c r="B156" s="370"/>
      <c r="C156" s="377"/>
      <c r="D156" s="378"/>
      <c r="E156" s="379"/>
      <c r="F156" s="378"/>
      <c r="G156" s="382"/>
    </row>
    <row r="157" spans="2:7" ht="22.5">
      <c r="B157" s="370"/>
      <c r="C157" s="377"/>
      <c r="D157" s="370"/>
      <c r="E157" s="379"/>
      <c r="F157" s="378"/>
      <c r="G157" s="382"/>
    </row>
    <row r="158" spans="2:7" ht="22.5">
      <c r="B158" s="370"/>
      <c r="C158" s="377"/>
      <c r="D158" s="370"/>
      <c r="E158" s="379"/>
      <c r="F158" s="378"/>
      <c r="G158" s="382"/>
    </row>
    <row r="159" spans="2:7" ht="22.5">
      <c r="B159" s="384"/>
      <c r="C159" s="385"/>
      <c r="D159" s="386"/>
      <c r="E159" s="387"/>
      <c r="F159" s="388"/>
      <c r="G159" s="387"/>
    </row>
    <row r="160" spans="2:7" ht="22.5">
      <c r="B160" s="389" t="s">
        <v>321</v>
      </c>
      <c r="C160" s="390"/>
      <c r="D160" s="391"/>
      <c r="E160" s="379"/>
      <c r="F160" s="392"/>
      <c r="G160" s="382"/>
    </row>
    <row r="161" spans="2:7" ht="22.5">
      <c r="B161" s="683" t="s">
        <v>17</v>
      </c>
      <c r="C161" s="684"/>
      <c r="D161" s="684"/>
      <c r="E161" s="684"/>
      <c r="F161" s="684"/>
      <c r="G161" s="685"/>
    </row>
    <row r="162" spans="2:7" ht="22.5">
      <c r="B162" s="393" t="s">
        <v>334</v>
      </c>
      <c r="C162" s="390"/>
      <c r="D162" s="391"/>
      <c r="E162" s="379"/>
      <c r="F162" s="392"/>
      <c r="G162" s="382"/>
    </row>
    <row r="163" spans="2:7" ht="22.5">
      <c r="B163" s="393"/>
      <c r="C163" s="390"/>
      <c r="D163" s="391"/>
      <c r="E163" s="379"/>
      <c r="F163" s="392"/>
      <c r="G163" s="382"/>
    </row>
    <row r="164" spans="2:7" ht="22.5">
      <c r="B164" s="393"/>
      <c r="C164" s="390"/>
      <c r="D164" s="391"/>
      <c r="E164" s="379"/>
      <c r="F164" s="392"/>
      <c r="G164" s="382"/>
    </row>
    <row r="165" spans="2:7" ht="22.5">
      <c r="B165" s="393"/>
      <c r="C165" s="390"/>
      <c r="D165" s="391"/>
      <c r="E165" s="379"/>
      <c r="F165" s="392"/>
      <c r="G165" s="382"/>
    </row>
    <row r="166" spans="2:7" ht="22.5">
      <c r="B166" s="393" t="s">
        <v>318</v>
      </c>
      <c r="C166" s="391"/>
      <c r="D166" s="391"/>
      <c r="E166" s="379"/>
      <c r="F166" s="391"/>
      <c r="G166" s="375"/>
    </row>
    <row r="167" spans="2:7" ht="22.5">
      <c r="B167" s="393"/>
      <c r="C167" s="391"/>
      <c r="D167" s="391"/>
      <c r="E167" s="379"/>
      <c r="F167" s="391"/>
      <c r="G167" s="375"/>
    </row>
    <row r="168" spans="2:7" ht="22.5">
      <c r="B168" s="393"/>
      <c r="C168" s="391"/>
      <c r="D168" s="391"/>
      <c r="E168" s="379"/>
      <c r="F168" s="391"/>
      <c r="G168" s="375"/>
    </row>
    <row r="169" spans="2:7" ht="22.5">
      <c r="B169" s="393"/>
      <c r="C169" s="391"/>
      <c r="D169" s="391"/>
      <c r="E169" s="379"/>
      <c r="F169" s="391"/>
      <c r="G169" s="375"/>
    </row>
    <row r="170" spans="2:7" ht="22.5">
      <c r="B170" s="393"/>
      <c r="C170" s="391"/>
      <c r="D170" s="391"/>
      <c r="E170" s="379"/>
      <c r="F170" s="391"/>
      <c r="G170" s="375"/>
    </row>
    <row r="171" spans="2:7" ht="22.5">
      <c r="B171" s="393"/>
      <c r="C171" s="391"/>
      <c r="D171" s="391"/>
      <c r="E171" s="379"/>
      <c r="F171" s="391"/>
      <c r="G171" s="375"/>
    </row>
    <row r="172" spans="2:7" ht="22.5">
      <c r="B172" s="384"/>
      <c r="C172" s="397"/>
      <c r="D172" s="397"/>
      <c r="E172" s="397"/>
      <c r="F172" s="397"/>
      <c r="G172" s="398"/>
    </row>
    <row r="177" spans="2:7" ht="22.5">
      <c r="B177" s="686" t="s">
        <v>7</v>
      </c>
      <c r="C177" s="686"/>
      <c r="D177" s="686"/>
      <c r="E177" s="686"/>
      <c r="F177" s="686"/>
      <c r="G177" s="686"/>
    </row>
    <row r="178" spans="2:7" ht="22.5">
      <c r="B178" s="686" t="s">
        <v>26</v>
      </c>
      <c r="C178" s="686"/>
      <c r="D178" s="686"/>
      <c r="E178" s="686"/>
      <c r="F178" s="686"/>
      <c r="G178" s="686"/>
    </row>
    <row r="179" spans="2:7" ht="22.5">
      <c r="B179" s="687" t="s">
        <v>320</v>
      </c>
      <c r="C179" s="687"/>
      <c r="D179" s="687"/>
      <c r="E179" s="687"/>
      <c r="F179" s="687"/>
      <c r="G179" s="687"/>
    </row>
    <row r="180" spans="2:7" ht="22.5">
      <c r="B180" s="367" t="s">
        <v>312</v>
      </c>
      <c r="C180" s="367"/>
      <c r="D180" s="367"/>
      <c r="E180" s="367"/>
      <c r="F180" s="367"/>
      <c r="G180" s="367"/>
    </row>
    <row r="181" spans="2:7" ht="22.5">
      <c r="B181" s="368" t="s">
        <v>36</v>
      </c>
      <c r="C181" s="369" t="s">
        <v>35</v>
      </c>
      <c r="D181" s="688" t="s">
        <v>313</v>
      </c>
      <c r="E181" s="689"/>
      <c r="F181" s="690" t="s">
        <v>38</v>
      </c>
      <c r="G181" s="689"/>
    </row>
    <row r="182" spans="2:7" ht="22.5">
      <c r="B182" s="374" t="s">
        <v>15</v>
      </c>
      <c r="C182" s="371"/>
      <c r="D182" s="400">
        <v>3113833</v>
      </c>
      <c r="E182" s="406">
        <v>38</v>
      </c>
      <c r="F182" s="374"/>
      <c r="G182" s="375"/>
    </row>
    <row r="183" spans="2:7" ht="22.5">
      <c r="B183" s="370" t="s">
        <v>16</v>
      </c>
      <c r="C183" s="377"/>
      <c r="D183" s="378"/>
      <c r="E183" s="379"/>
      <c r="F183" s="378">
        <f>D182</f>
        <v>3113833</v>
      </c>
      <c r="G183" s="407">
        <f>E182</f>
        <v>38</v>
      </c>
    </row>
    <row r="184" spans="2:7" ht="22.5">
      <c r="B184" s="370"/>
      <c r="C184" s="377"/>
      <c r="D184" s="378"/>
      <c r="E184" s="379"/>
      <c r="F184" s="381"/>
      <c r="G184" s="382"/>
    </row>
    <row r="185" spans="2:7" ht="22.5">
      <c r="B185" s="370"/>
      <c r="C185" s="377"/>
      <c r="D185" s="381"/>
      <c r="E185" s="379"/>
      <c r="F185" s="381"/>
      <c r="G185" s="382"/>
    </row>
    <row r="186" spans="2:7" ht="22.5">
      <c r="B186" s="370"/>
      <c r="C186" s="377"/>
      <c r="D186" s="381"/>
      <c r="E186" s="379"/>
      <c r="F186" s="381"/>
      <c r="G186" s="382"/>
    </row>
    <row r="187" spans="2:7" ht="22.5">
      <c r="B187" s="370"/>
      <c r="C187" s="377"/>
      <c r="D187" s="381"/>
      <c r="E187" s="379"/>
      <c r="F187" s="381"/>
      <c r="G187" s="382"/>
    </row>
    <row r="188" spans="2:7" ht="22.5">
      <c r="B188" s="370"/>
      <c r="C188" s="377"/>
      <c r="D188" s="378"/>
      <c r="E188" s="379"/>
      <c r="F188" s="381"/>
      <c r="G188" s="382"/>
    </row>
    <row r="189" spans="2:7" ht="22.5">
      <c r="B189" s="370"/>
      <c r="C189" s="377"/>
      <c r="D189" s="378"/>
      <c r="E189" s="379"/>
      <c r="F189" s="381"/>
      <c r="G189" s="382"/>
    </row>
    <row r="190" spans="2:7" ht="22.5">
      <c r="B190" s="370"/>
      <c r="C190" s="377"/>
      <c r="D190" s="378"/>
      <c r="E190" s="379"/>
      <c r="F190" s="378"/>
      <c r="G190" s="382"/>
    </row>
    <row r="191" spans="2:7" ht="22.5">
      <c r="B191" s="370"/>
      <c r="C191" s="377"/>
      <c r="D191" s="378"/>
      <c r="E191" s="379"/>
      <c r="F191" s="378"/>
      <c r="G191" s="382"/>
    </row>
    <row r="192" spans="2:7" ht="22.5">
      <c r="B192" s="370"/>
      <c r="C192" s="377"/>
      <c r="D192" s="378"/>
      <c r="E192" s="379"/>
      <c r="F192" s="378"/>
      <c r="G192" s="382"/>
    </row>
    <row r="193" spans="2:7" ht="22.5">
      <c r="B193" s="370"/>
      <c r="C193" s="377"/>
      <c r="D193" s="370"/>
      <c r="E193" s="379"/>
      <c r="F193" s="378"/>
      <c r="G193" s="382"/>
    </row>
    <row r="194" spans="2:7" ht="22.5">
      <c r="B194" s="370"/>
      <c r="C194" s="377"/>
      <c r="D194" s="370"/>
      <c r="E194" s="379"/>
      <c r="F194" s="378"/>
      <c r="G194" s="382"/>
    </row>
    <row r="195" spans="2:7" ht="22.5">
      <c r="B195" s="384"/>
      <c r="C195" s="385"/>
      <c r="D195" s="386"/>
      <c r="E195" s="387"/>
      <c r="F195" s="388"/>
      <c r="G195" s="387"/>
    </row>
    <row r="196" spans="2:7" ht="22.5">
      <c r="B196" s="389" t="s">
        <v>321</v>
      </c>
      <c r="C196" s="390"/>
      <c r="D196" s="391"/>
      <c r="E196" s="379"/>
      <c r="F196" s="392"/>
      <c r="G196" s="382"/>
    </row>
    <row r="197" spans="2:7" ht="22.5">
      <c r="B197" s="683" t="s">
        <v>17</v>
      </c>
      <c r="C197" s="684"/>
      <c r="D197" s="684"/>
      <c r="E197" s="684"/>
      <c r="F197" s="684"/>
      <c r="G197" s="685"/>
    </row>
    <row r="198" spans="2:7" ht="22.5">
      <c r="B198" s="393" t="s">
        <v>27</v>
      </c>
      <c r="C198" s="390"/>
      <c r="D198" s="391"/>
      <c r="E198" s="379"/>
      <c r="F198" s="392"/>
      <c r="G198" s="382"/>
    </row>
    <row r="199" spans="2:7" ht="22.5">
      <c r="B199" s="393"/>
      <c r="C199" s="390"/>
      <c r="D199" s="391"/>
      <c r="E199" s="379"/>
      <c r="F199" s="392"/>
      <c r="G199" s="382"/>
    </row>
    <row r="200" spans="2:7" ht="22.5">
      <c r="B200" s="393"/>
      <c r="C200" s="390"/>
      <c r="D200" s="391"/>
      <c r="E200" s="379"/>
      <c r="F200" s="392"/>
      <c r="G200" s="382"/>
    </row>
    <row r="201" spans="2:7" ht="22.5">
      <c r="B201" s="393"/>
      <c r="C201" s="390"/>
      <c r="D201" s="391"/>
      <c r="E201" s="379"/>
      <c r="F201" s="392"/>
      <c r="G201" s="382"/>
    </row>
    <row r="202" spans="2:7" ht="22.5">
      <c r="B202" s="393" t="s">
        <v>318</v>
      </c>
      <c r="C202" s="391"/>
      <c r="D202" s="391"/>
      <c r="E202" s="379"/>
      <c r="F202" s="391"/>
      <c r="G202" s="375"/>
    </row>
    <row r="203" spans="2:7" ht="22.5">
      <c r="B203" s="393"/>
      <c r="C203" s="391"/>
      <c r="D203" s="391"/>
      <c r="E203" s="379"/>
      <c r="F203" s="391"/>
      <c r="G203" s="375"/>
    </row>
    <row r="204" spans="2:7" ht="22.5">
      <c r="B204" s="393"/>
      <c r="C204" s="391"/>
      <c r="D204" s="391"/>
      <c r="E204" s="379"/>
      <c r="F204" s="391"/>
      <c r="G204" s="375"/>
    </row>
    <row r="205" spans="2:7" ht="22.5">
      <c r="B205" s="393"/>
      <c r="C205" s="391"/>
      <c r="D205" s="391"/>
      <c r="E205" s="379"/>
      <c r="F205" s="391"/>
      <c r="G205" s="375"/>
    </row>
    <row r="206" spans="2:7" ht="22.5">
      <c r="B206" s="393"/>
      <c r="C206" s="391"/>
      <c r="D206" s="391"/>
      <c r="E206" s="379"/>
      <c r="F206" s="391"/>
      <c r="G206" s="375"/>
    </row>
    <row r="207" spans="2:7" ht="22.5">
      <c r="B207" s="393"/>
      <c r="C207" s="391"/>
      <c r="D207" s="391"/>
      <c r="E207" s="379"/>
      <c r="F207" s="391"/>
      <c r="G207" s="375"/>
    </row>
    <row r="208" spans="2:7" ht="22.5">
      <c r="B208" s="384"/>
      <c r="C208" s="397"/>
      <c r="D208" s="397"/>
      <c r="E208" s="397"/>
      <c r="F208" s="397"/>
      <c r="G208" s="398"/>
    </row>
    <row r="214" spans="2:7" ht="22.5">
      <c r="B214" s="686" t="s">
        <v>28</v>
      </c>
      <c r="C214" s="686"/>
      <c r="D214" s="686"/>
      <c r="E214" s="686"/>
      <c r="F214" s="686"/>
      <c r="G214" s="686"/>
    </row>
    <row r="215" spans="2:7" ht="22.5">
      <c r="B215" s="686" t="s">
        <v>29</v>
      </c>
      <c r="C215" s="686"/>
      <c r="D215" s="686"/>
      <c r="E215" s="686"/>
      <c r="F215" s="686"/>
      <c r="G215" s="686"/>
    </row>
    <row r="216" spans="2:7" ht="22.5">
      <c r="B216" s="687" t="s">
        <v>320</v>
      </c>
      <c r="C216" s="687"/>
      <c r="D216" s="687"/>
      <c r="E216" s="687"/>
      <c r="F216" s="687"/>
      <c r="G216" s="687"/>
    </row>
    <row r="217" spans="2:7" ht="22.5">
      <c r="B217" s="367" t="s">
        <v>312</v>
      </c>
      <c r="C217" s="367"/>
      <c r="D217" s="367"/>
      <c r="E217" s="367"/>
      <c r="F217" s="367"/>
      <c r="G217" s="367"/>
    </row>
    <row r="218" spans="2:7" ht="22.5">
      <c r="B218" s="368" t="s">
        <v>36</v>
      </c>
      <c r="C218" s="369" t="s">
        <v>35</v>
      </c>
      <c r="D218" s="688" t="s">
        <v>313</v>
      </c>
      <c r="E218" s="689"/>
      <c r="F218" s="690" t="s">
        <v>38</v>
      </c>
      <c r="G218" s="689"/>
    </row>
    <row r="219" spans="2:7" ht="22.5">
      <c r="B219" s="374" t="s">
        <v>15</v>
      </c>
      <c r="C219" s="371"/>
      <c r="D219" s="400">
        <v>2821779</v>
      </c>
      <c r="E219" s="406">
        <v>38</v>
      </c>
      <c r="F219" s="374"/>
      <c r="G219" s="375"/>
    </row>
    <row r="220" spans="2:7" ht="22.5">
      <c r="B220" s="370" t="s">
        <v>16</v>
      </c>
      <c r="C220" s="377"/>
      <c r="D220" s="378"/>
      <c r="E220" s="379"/>
      <c r="F220" s="378">
        <f>D219</f>
        <v>2821779</v>
      </c>
      <c r="G220" s="407">
        <f>E219</f>
        <v>38</v>
      </c>
    </row>
    <row r="221" spans="2:7" ht="22.5">
      <c r="B221" s="370"/>
      <c r="C221" s="377"/>
      <c r="D221" s="378"/>
      <c r="E221" s="379"/>
      <c r="F221" s="381"/>
      <c r="G221" s="382"/>
    </row>
    <row r="222" spans="2:7" ht="22.5">
      <c r="B222" s="370"/>
      <c r="C222" s="377"/>
      <c r="D222" s="381"/>
      <c r="E222" s="379"/>
      <c r="F222" s="381"/>
      <c r="G222" s="382"/>
    </row>
    <row r="223" spans="2:7" ht="22.5">
      <c r="B223" s="370"/>
      <c r="C223" s="377"/>
      <c r="D223" s="381"/>
      <c r="E223" s="379"/>
      <c r="F223" s="381"/>
      <c r="G223" s="382"/>
    </row>
    <row r="224" spans="2:7" ht="22.5">
      <c r="B224" s="370"/>
      <c r="C224" s="377"/>
      <c r="D224" s="381"/>
      <c r="E224" s="379"/>
      <c r="F224" s="381"/>
      <c r="G224" s="382"/>
    </row>
    <row r="225" spans="2:7" ht="22.5">
      <c r="B225" s="370"/>
      <c r="C225" s="377"/>
      <c r="D225" s="378"/>
      <c r="E225" s="379"/>
      <c r="F225" s="381"/>
      <c r="G225" s="382"/>
    </row>
    <row r="226" spans="2:7" ht="22.5">
      <c r="B226" s="370"/>
      <c r="C226" s="377"/>
      <c r="D226" s="378"/>
      <c r="E226" s="379"/>
      <c r="F226" s="381"/>
      <c r="G226" s="382"/>
    </row>
    <row r="227" spans="2:7" ht="22.5">
      <c r="B227" s="370"/>
      <c r="C227" s="377"/>
      <c r="D227" s="378"/>
      <c r="E227" s="379"/>
      <c r="F227" s="378"/>
      <c r="G227" s="382"/>
    </row>
    <row r="228" spans="2:7" ht="22.5">
      <c r="B228" s="370"/>
      <c r="C228" s="377"/>
      <c r="D228" s="378"/>
      <c r="E228" s="379"/>
      <c r="F228" s="378"/>
      <c r="G228" s="382"/>
    </row>
    <row r="229" spans="2:7" ht="22.5">
      <c r="B229" s="370"/>
      <c r="C229" s="377"/>
      <c r="D229" s="378"/>
      <c r="E229" s="379"/>
      <c r="F229" s="378"/>
      <c r="G229" s="382"/>
    </row>
    <row r="230" spans="2:7" ht="22.5">
      <c r="B230" s="370"/>
      <c r="C230" s="377"/>
      <c r="D230" s="370"/>
      <c r="E230" s="379"/>
      <c r="F230" s="378"/>
      <c r="G230" s="382"/>
    </row>
    <row r="231" spans="2:7" ht="22.5">
      <c r="B231" s="370"/>
      <c r="C231" s="377"/>
      <c r="D231" s="370"/>
      <c r="E231" s="379"/>
      <c r="F231" s="378"/>
      <c r="G231" s="382"/>
    </row>
    <row r="232" spans="2:7" ht="22.5">
      <c r="B232" s="384"/>
      <c r="C232" s="385"/>
      <c r="D232" s="386"/>
      <c r="E232" s="387"/>
      <c r="F232" s="388"/>
      <c r="G232" s="387"/>
    </row>
    <row r="233" spans="2:7" ht="22.5">
      <c r="B233" s="389" t="s">
        <v>321</v>
      </c>
      <c r="C233" s="390"/>
      <c r="D233" s="391"/>
      <c r="E233" s="379"/>
      <c r="F233" s="392"/>
      <c r="G233" s="382"/>
    </row>
    <row r="234" spans="2:7" ht="22.5">
      <c r="B234" s="683" t="s">
        <v>17</v>
      </c>
      <c r="C234" s="684"/>
      <c r="D234" s="684"/>
      <c r="E234" s="684"/>
      <c r="F234" s="684"/>
      <c r="G234" s="685"/>
    </row>
    <row r="235" spans="2:7" ht="22.5">
      <c r="B235" s="393" t="s">
        <v>30</v>
      </c>
      <c r="C235" s="390"/>
      <c r="D235" s="391"/>
      <c r="E235" s="379"/>
      <c r="F235" s="392"/>
      <c r="G235" s="382"/>
    </row>
    <row r="236" spans="2:7" ht="22.5">
      <c r="B236" s="393"/>
      <c r="C236" s="390"/>
      <c r="D236" s="391"/>
      <c r="E236" s="379"/>
      <c r="F236" s="392"/>
      <c r="G236" s="382"/>
    </row>
    <row r="237" spans="2:7" ht="22.5">
      <c r="B237" s="393"/>
      <c r="C237" s="390"/>
      <c r="D237" s="391"/>
      <c r="E237" s="379"/>
      <c r="F237" s="392"/>
      <c r="G237" s="382"/>
    </row>
    <row r="238" spans="2:7" ht="22.5">
      <c r="B238" s="393"/>
      <c r="C238" s="390"/>
      <c r="D238" s="391"/>
      <c r="E238" s="379"/>
      <c r="F238" s="392"/>
      <c r="G238" s="382"/>
    </row>
    <row r="239" spans="2:7" ht="22.5">
      <c r="B239" s="393" t="s">
        <v>318</v>
      </c>
      <c r="C239" s="391"/>
      <c r="D239" s="391"/>
      <c r="E239" s="379"/>
      <c r="F239" s="391"/>
      <c r="G239" s="375"/>
    </row>
    <row r="240" spans="2:7" ht="22.5">
      <c r="B240" s="393"/>
      <c r="C240" s="391"/>
      <c r="D240" s="391"/>
      <c r="E240" s="379"/>
      <c r="F240" s="391"/>
      <c r="G240" s="375"/>
    </row>
    <row r="241" spans="2:7" ht="22.5">
      <c r="B241" s="393"/>
      <c r="C241" s="391"/>
      <c r="D241" s="391"/>
      <c r="E241" s="379"/>
      <c r="F241" s="391"/>
      <c r="G241" s="375"/>
    </row>
    <row r="242" spans="2:7" ht="22.5">
      <c r="B242" s="393"/>
      <c r="C242" s="391"/>
      <c r="D242" s="391"/>
      <c r="E242" s="379"/>
      <c r="F242" s="391"/>
      <c r="G242" s="375"/>
    </row>
    <row r="243" spans="2:7" ht="22.5">
      <c r="B243" s="393"/>
      <c r="C243" s="391"/>
      <c r="D243" s="391"/>
      <c r="E243" s="379"/>
      <c r="F243" s="391"/>
      <c r="G243" s="375"/>
    </row>
    <row r="244" spans="2:7" ht="22.5">
      <c r="B244" s="393"/>
      <c r="C244" s="391"/>
      <c r="D244" s="391"/>
      <c r="E244" s="379"/>
      <c r="F244" s="391"/>
      <c r="G244" s="375"/>
    </row>
    <row r="245" spans="2:7" ht="22.5">
      <c r="B245" s="384"/>
      <c r="C245" s="397"/>
      <c r="D245" s="397"/>
      <c r="E245" s="397"/>
      <c r="F245" s="397"/>
      <c r="G245" s="398"/>
    </row>
    <row r="251" spans="2:7" ht="22.5">
      <c r="B251" s="686" t="s">
        <v>0</v>
      </c>
      <c r="C251" s="686"/>
      <c r="D251" s="686"/>
      <c r="E251" s="686"/>
      <c r="F251" s="686"/>
      <c r="G251" s="686"/>
    </row>
    <row r="252" spans="2:7" ht="22.5">
      <c r="B252" s="686" t="s">
        <v>31</v>
      </c>
      <c r="C252" s="686"/>
      <c r="D252" s="686"/>
      <c r="E252" s="686"/>
      <c r="F252" s="686"/>
      <c r="G252" s="686"/>
    </row>
    <row r="253" spans="2:7" ht="22.5">
      <c r="B253" s="687" t="s">
        <v>320</v>
      </c>
      <c r="C253" s="687"/>
      <c r="D253" s="687"/>
      <c r="E253" s="687"/>
      <c r="F253" s="687"/>
      <c r="G253" s="687"/>
    </row>
    <row r="254" spans="2:7" ht="22.5">
      <c r="B254" s="367" t="s">
        <v>312</v>
      </c>
      <c r="C254" s="367"/>
      <c r="D254" s="367"/>
      <c r="E254" s="367"/>
      <c r="F254" s="367"/>
      <c r="G254" s="367"/>
    </row>
    <row r="255" spans="2:7" ht="22.5">
      <c r="B255" s="368" t="s">
        <v>36</v>
      </c>
      <c r="C255" s="369" t="s">
        <v>35</v>
      </c>
      <c r="D255" s="688" t="s">
        <v>313</v>
      </c>
      <c r="E255" s="689"/>
      <c r="F255" s="690" t="s">
        <v>38</v>
      </c>
      <c r="G255" s="689"/>
    </row>
    <row r="256" spans="2:7" ht="22.5">
      <c r="B256" s="374" t="s">
        <v>15</v>
      </c>
      <c r="C256" s="371"/>
      <c r="D256" s="400">
        <v>2227302</v>
      </c>
      <c r="E256" s="390" t="s">
        <v>32</v>
      </c>
      <c r="F256" s="374"/>
      <c r="G256" s="375"/>
    </row>
    <row r="257" spans="2:7" ht="22.5">
      <c r="B257" s="370" t="s">
        <v>16</v>
      </c>
      <c r="C257" s="377"/>
      <c r="D257" s="378"/>
      <c r="E257" s="379"/>
      <c r="F257" s="378">
        <f>D256</f>
        <v>2227302</v>
      </c>
      <c r="G257" s="407" t="str">
        <f>E256</f>
        <v>05</v>
      </c>
    </row>
    <row r="258" spans="2:7" ht="22.5">
      <c r="B258" s="370"/>
      <c r="C258" s="377"/>
      <c r="D258" s="378"/>
      <c r="E258" s="379"/>
      <c r="F258" s="381"/>
      <c r="G258" s="382"/>
    </row>
    <row r="259" spans="2:7" ht="22.5">
      <c r="B259" s="370"/>
      <c r="C259" s="377"/>
      <c r="D259" s="381"/>
      <c r="E259" s="379"/>
      <c r="F259" s="381"/>
      <c r="G259" s="382"/>
    </row>
    <row r="260" spans="2:7" ht="22.5">
      <c r="B260" s="370"/>
      <c r="C260" s="377"/>
      <c r="D260" s="381"/>
      <c r="E260" s="379"/>
      <c r="F260" s="381"/>
      <c r="G260" s="382"/>
    </row>
    <row r="261" spans="2:7" ht="22.5">
      <c r="B261" s="370"/>
      <c r="C261" s="377"/>
      <c r="D261" s="381"/>
      <c r="E261" s="379"/>
      <c r="F261" s="381"/>
      <c r="G261" s="382"/>
    </row>
    <row r="262" spans="2:7" ht="22.5">
      <c r="B262" s="370"/>
      <c r="C262" s="377"/>
      <c r="D262" s="378"/>
      <c r="E262" s="379"/>
      <c r="F262" s="381"/>
      <c r="G262" s="382"/>
    </row>
    <row r="263" spans="2:7" ht="22.5">
      <c r="B263" s="370"/>
      <c r="C263" s="377"/>
      <c r="D263" s="378"/>
      <c r="E263" s="379"/>
      <c r="F263" s="381"/>
      <c r="G263" s="382"/>
    </row>
    <row r="264" spans="2:7" ht="22.5">
      <c r="B264" s="370"/>
      <c r="C264" s="377"/>
      <c r="D264" s="378"/>
      <c r="E264" s="379"/>
      <c r="F264" s="378"/>
      <c r="G264" s="382"/>
    </row>
    <row r="265" spans="2:7" ht="22.5">
      <c r="B265" s="370"/>
      <c r="C265" s="377"/>
      <c r="D265" s="378"/>
      <c r="E265" s="379"/>
      <c r="F265" s="378"/>
      <c r="G265" s="382"/>
    </row>
    <row r="266" spans="2:7" ht="22.5">
      <c r="B266" s="370"/>
      <c r="C266" s="377"/>
      <c r="D266" s="378"/>
      <c r="E266" s="379"/>
      <c r="F266" s="378"/>
      <c r="G266" s="382"/>
    </row>
    <row r="267" spans="2:7" ht="22.5">
      <c r="B267" s="370"/>
      <c r="C267" s="377"/>
      <c r="D267" s="370"/>
      <c r="E267" s="379"/>
      <c r="F267" s="378"/>
      <c r="G267" s="382"/>
    </row>
    <row r="268" spans="2:7" ht="22.5">
      <c r="B268" s="370"/>
      <c r="C268" s="377"/>
      <c r="D268" s="370"/>
      <c r="E268" s="379"/>
      <c r="F268" s="378"/>
      <c r="G268" s="382"/>
    </row>
    <row r="269" spans="2:7" ht="22.5">
      <c r="B269" s="384"/>
      <c r="C269" s="385"/>
      <c r="D269" s="386"/>
      <c r="E269" s="387"/>
      <c r="F269" s="388"/>
      <c r="G269" s="387"/>
    </row>
    <row r="270" spans="2:7" ht="22.5">
      <c r="B270" s="389" t="s">
        <v>321</v>
      </c>
      <c r="C270" s="390"/>
      <c r="D270" s="391"/>
      <c r="E270" s="379"/>
      <c r="F270" s="392"/>
      <c r="G270" s="382"/>
    </row>
    <row r="271" spans="2:7" ht="22.5">
      <c r="B271" s="683" t="s">
        <v>17</v>
      </c>
      <c r="C271" s="684"/>
      <c r="D271" s="684"/>
      <c r="E271" s="684"/>
      <c r="F271" s="684"/>
      <c r="G271" s="685"/>
    </row>
    <row r="272" spans="2:7" ht="22.5">
      <c r="B272" s="393" t="s">
        <v>33</v>
      </c>
      <c r="C272" s="390"/>
      <c r="D272" s="391"/>
      <c r="E272" s="379"/>
      <c r="F272" s="392"/>
      <c r="G272" s="382"/>
    </row>
    <row r="273" spans="2:7" ht="22.5">
      <c r="B273" s="393"/>
      <c r="C273" s="390"/>
      <c r="D273" s="391"/>
      <c r="E273" s="379"/>
      <c r="F273" s="392"/>
      <c r="G273" s="382"/>
    </row>
    <row r="274" spans="2:7" ht="22.5">
      <c r="B274" s="393"/>
      <c r="C274" s="390"/>
      <c r="D274" s="391"/>
      <c r="E274" s="379"/>
      <c r="F274" s="392"/>
      <c r="G274" s="382"/>
    </row>
    <row r="275" spans="2:7" ht="22.5">
      <c r="B275" s="393"/>
      <c r="C275" s="390"/>
      <c r="D275" s="391"/>
      <c r="E275" s="379"/>
      <c r="F275" s="392"/>
      <c r="G275" s="382"/>
    </row>
    <row r="276" spans="2:7" ht="22.5">
      <c r="B276" s="393" t="s">
        <v>318</v>
      </c>
      <c r="C276" s="391"/>
      <c r="D276" s="391"/>
      <c r="E276" s="379"/>
      <c r="F276" s="391"/>
      <c r="G276" s="375"/>
    </row>
    <row r="277" spans="2:7" ht="22.5">
      <c r="B277" s="393"/>
      <c r="C277" s="391"/>
      <c r="D277" s="391"/>
      <c r="E277" s="379"/>
      <c r="F277" s="391"/>
      <c r="G277" s="375"/>
    </row>
    <row r="278" spans="2:7" ht="22.5">
      <c r="B278" s="393"/>
      <c r="C278" s="391"/>
      <c r="D278" s="391"/>
      <c r="E278" s="379"/>
      <c r="F278" s="391"/>
      <c r="G278" s="375"/>
    </row>
    <row r="279" spans="2:7" ht="22.5">
      <c r="B279" s="393"/>
      <c r="C279" s="391"/>
      <c r="D279" s="391"/>
      <c r="E279" s="379"/>
      <c r="F279" s="391"/>
      <c r="G279" s="375"/>
    </row>
    <row r="280" spans="2:7" ht="22.5">
      <c r="B280" s="393"/>
      <c r="C280" s="391"/>
      <c r="D280" s="391"/>
      <c r="E280" s="379"/>
      <c r="F280" s="391"/>
      <c r="G280" s="375"/>
    </row>
    <row r="281" spans="2:7" ht="22.5">
      <c r="B281" s="393"/>
      <c r="C281" s="391"/>
      <c r="D281" s="391"/>
      <c r="E281" s="379"/>
      <c r="F281" s="391"/>
      <c r="G281" s="375"/>
    </row>
    <row r="282" spans="2:7" ht="22.5">
      <c r="B282" s="384"/>
      <c r="C282" s="397"/>
      <c r="D282" s="397"/>
      <c r="E282" s="397"/>
      <c r="F282" s="397"/>
      <c r="G282" s="398"/>
    </row>
  </sheetData>
  <sheetProtection/>
  <mergeCells count="48">
    <mergeCell ref="D255:E255"/>
    <mergeCell ref="F255:G255"/>
    <mergeCell ref="B271:G271"/>
    <mergeCell ref="B234:G234"/>
    <mergeCell ref="B251:G251"/>
    <mergeCell ref="B252:G252"/>
    <mergeCell ref="B253:G253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74:G74"/>
    <mergeCell ref="B75:G75"/>
    <mergeCell ref="D77:E77"/>
    <mergeCell ref="F77:G77"/>
    <mergeCell ref="D40:E40"/>
    <mergeCell ref="F40:G40"/>
    <mergeCell ref="B56:G56"/>
    <mergeCell ref="B73:G73"/>
    <mergeCell ref="B28:G28"/>
    <mergeCell ref="B36:G36"/>
    <mergeCell ref="B37:G37"/>
    <mergeCell ref="B38:G38"/>
    <mergeCell ref="B1:G1"/>
    <mergeCell ref="B2:G2"/>
    <mergeCell ref="B3:G3"/>
    <mergeCell ref="D5:E5"/>
    <mergeCell ref="F5:G5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686" t="s">
        <v>684</v>
      </c>
      <c r="B1" s="686"/>
      <c r="C1" s="686"/>
      <c r="D1" s="686"/>
      <c r="E1" s="686"/>
      <c r="F1" s="686"/>
    </row>
    <row r="2" spans="1:6" ht="22.5">
      <c r="A2" s="686" t="s">
        <v>685</v>
      </c>
      <c r="B2" s="686"/>
      <c r="C2" s="686"/>
      <c r="D2" s="686"/>
      <c r="E2" s="686"/>
      <c r="F2" s="686"/>
    </row>
    <row r="3" spans="1:6" ht="22.5">
      <c r="A3" s="687" t="s">
        <v>320</v>
      </c>
      <c r="B3" s="687"/>
      <c r="C3" s="687"/>
      <c r="D3" s="687"/>
      <c r="E3" s="687"/>
      <c r="F3" s="687"/>
    </row>
    <row r="4" spans="1:6" ht="22.5">
      <c r="A4" s="367" t="s">
        <v>312</v>
      </c>
      <c r="B4" s="367"/>
      <c r="C4" s="367"/>
      <c r="D4" s="367"/>
      <c r="E4" s="367"/>
      <c r="F4" s="367"/>
    </row>
    <row r="5" spans="1:6" ht="22.5">
      <c r="A5" s="368" t="s">
        <v>36</v>
      </c>
      <c r="B5" s="369" t="s">
        <v>35</v>
      </c>
      <c r="C5" s="688" t="s">
        <v>313</v>
      </c>
      <c r="D5" s="689"/>
      <c r="E5" s="690" t="s">
        <v>38</v>
      </c>
      <c r="F5" s="689"/>
    </row>
    <row r="6" spans="1:6" ht="22.5">
      <c r="A6" s="374" t="s">
        <v>3</v>
      </c>
      <c r="B6" s="371"/>
      <c r="C6" s="400">
        <v>2646272</v>
      </c>
      <c r="D6" s="390" t="s">
        <v>686</v>
      </c>
      <c r="E6" s="374"/>
      <c r="F6" s="375"/>
    </row>
    <row r="7" spans="1:6" ht="22.5">
      <c r="A7" s="370" t="s">
        <v>4</v>
      </c>
      <c r="B7" s="377"/>
      <c r="C7" s="378"/>
      <c r="D7" s="379"/>
      <c r="E7" s="378">
        <f>C6</f>
        <v>2646272</v>
      </c>
      <c r="F7" s="402" t="str">
        <f>D6</f>
        <v>53</v>
      </c>
    </row>
    <row r="8" spans="1:6" ht="22.5">
      <c r="A8" s="370"/>
      <c r="B8" s="377"/>
      <c r="C8" s="378"/>
      <c r="D8" s="379"/>
      <c r="E8" s="381"/>
      <c r="F8" s="382"/>
    </row>
    <row r="9" spans="1:6" ht="22.5">
      <c r="A9" s="370"/>
      <c r="B9" s="377"/>
      <c r="C9" s="381"/>
      <c r="D9" s="379"/>
      <c r="E9" s="381"/>
      <c r="F9" s="382"/>
    </row>
    <row r="10" spans="1:6" ht="22.5">
      <c r="A10" s="370"/>
      <c r="B10" s="377"/>
      <c r="C10" s="378"/>
      <c r="D10" s="379"/>
      <c r="E10" s="381"/>
      <c r="F10" s="382"/>
    </row>
    <row r="11" spans="1:6" ht="22.5">
      <c r="A11" s="370"/>
      <c r="B11" s="377"/>
      <c r="C11" s="378"/>
      <c r="D11" s="379"/>
      <c r="E11" s="381"/>
      <c r="F11" s="403"/>
    </row>
    <row r="12" spans="1:6" ht="22.5">
      <c r="A12" s="370"/>
      <c r="B12" s="377"/>
      <c r="C12" s="378"/>
      <c r="D12" s="379"/>
      <c r="E12" s="378"/>
      <c r="F12" s="382"/>
    </row>
    <row r="13" spans="1:6" ht="22.5">
      <c r="A13" s="370"/>
      <c r="B13" s="377"/>
      <c r="C13" s="370"/>
      <c r="D13" s="379"/>
      <c r="E13" s="378"/>
      <c r="F13" s="382"/>
    </row>
    <row r="14" spans="1:6" ht="22.5">
      <c r="A14" s="370"/>
      <c r="B14" s="377"/>
      <c r="C14" s="370"/>
      <c r="D14" s="379"/>
      <c r="E14" s="378"/>
      <c r="F14" s="382"/>
    </row>
    <row r="15" spans="1:6" ht="22.5">
      <c r="A15" s="384"/>
      <c r="B15" s="385"/>
      <c r="C15" s="386"/>
      <c r="D15" s="387"/>
      <c r="E15" s="388"/>
      <c r="F15" s="387"/>
    </row>
    <row r="16" spans="1:6" ht="22.5">
      <c r="A16" s="393"/>
      <c r="B16" s="390"/>
      <c r="C16" s="404"/>
      <c r="D16" s="379"/>
      <c r="E16" s="392"/>
      <c r="F16" s="382"/>
    </row>
    <row r="17" spans="1:6" ht="22.5">
      <c r="A17" s="389" t="s">
        <v>321</v>
      </c>
      <c r="B17" s="390"/>
      <c r="C17" s="391"/>
      <c r="D17" s="379"/>
      <c r="E17" s="392"/>
      <c r="F17" s="382"/>
    </row>
    <row r="18" spans="1:6" ht="22.5">
      <c r="A18" s="683" t="s">
        <v>5</v>
      </c>
      <c r="B18" s="684"/>
      <c r="C18" s="684"/>
      <c r="D18" s="684"/>
      <c r="E18" s="684"/>
      <c r="F18" s="685"/>
    </row>
    <row r="19" spans="1:6" ht="22.5">
      <c r="A19" s="393" t="s">
        <v>6</v>
      </c>
      <c r="B19" s="390"/>
      <c r="C19" s="391"/>
      <c r="D19" s="379"/>
      <c r="E19" s="392"/>
      <c r="F19" s="382"/>
    </row>
    <row r="20" spans="1:6" ht="22.5">
      <c r="A20" s="393"/>
      <c r="B20" s="390"/>
      <c r="C20" s="391"/>
      <c r="D20" s="379"/>
      <c r="E20" s="392"/>
      <c r="F20" s="382"/>
    </row>
    <row r="21" spans="1:6" ht="22.5">
      <c r="A21" s="393"/>
      <c r="B21" s="390"/>
      <c r="C21" s="391"/>
      <c r="D21" s="379"/>
      <c r="E21" s="392"/>
      <c r="F21" s="382"/>
    </row>
    <row r="22" spans="1:6" ht="22.5">
      <c r="A22" s="393" t="s">
        <v>318</v>
      </c>
      <c r="B22" s="391"/>
      <c r="C22" s="391"/>
      <c r="D22" s="379"/>
      <c r="E22" s="391"/>
      <c r="F22" s="375"/>
    </row>
    <row r="23" spans="1:6" ht="22.5">
      <c r="A23" s="393"/>
      <c r="B23" s="391"/>
      <c r="C23" s="391"/>
      <c r="D23" s="379"/>
      <c r="E23" s="391"/>
      <c r="F23" s="375"/>
    </row>
    <row r="24" spans="1:6" ht="22.5">
      <c r="A24" s="393"/>
      <c r="B24" s="391"/>
      <c r="C24" s="391"/>
      <c r="D24" s="379"/>
      <c r="E24" s="391"/>
      <c r="F24" s="375"/>
    </row>
    <row r="25" spans="1:6" ht="22.5">
      <c r="A25" s="393"/>
      <c r="B25" s="391"/>
      <c r="C25" s="391"/>
      <c r="D25" s="379"/>
      <c r="E25" s="391"/>
      <c r="F25" s="375"/>
    </row>
    <row r="26" spans="1:6" ht="22.5">
      <c r="A26" s="393"/>
      <c r="B26" s="391"/>
      <c r="C26" s="391"/>
      <c r="D26" s="379"/>
      <c r="E26" s="391"/>
      <c r="F26" s="375"/>
    </row>
    <row r="27" spans="1:6" ht="22.5">
      <c r="A27" s="393"/>
      <c r="B27" s="391"/>
      <c r="C27" s="391"/>
      <c r="D27" s="379"/>
      <c r="E27" s="391"/>
      <c r="F27" s="375"/>
    </row>
    <row r="28" spans="1:6" ht="22.5">
      <c r="A28" s="384"/>
      <c r="B28" s="397"/>
      <c r="C28" s="397"/>
      <c r="D28" s="397"/>
      <c r="E28" s="397"/>
      <c r="F28" s="398"/>
    </row>
    <row r="34" spans="1:6" ht="22.5">
      <c r="A34" s="686" t="s">
        <v>9</v>
      </c>
      <c r="B34" s="686"/>
      <c r="C34" s="686"/>
      <c r="D34" s="686"/>
      <c r="E34" s="686"/>
      <c r="F34" s="686"/>
    </row>
    <row r="35" spans="1:6" ht="22.5">
      <c r="A35" s="686" t="s">
        <v>373</v>
      </c>
      <c r="B35" s="686"/>
      <c r="C35" s="686"/>
      <c r="D35" s="686"/>
      <c r="E35" s="686"/>
      <c r="F35" s="686"/>
    </row>
    <row r="36" spans="1:6" ht="22.5">
      <c r="A36" s="687" t="s">
        <v>320</v>
      </c>
      <c r="B36" s="687"/>
      <c r="C36" s="687"/>
      <c r="D36" s="687"/>
      <c r="E36" s="687"/>
      <c r="F36" s="687"/>
    </row>
    <row r="37" spans="1:6" ht="22.5">
      <c r="A37" s="367" t="s">
        <v>312</v>
      </c>
      <c r="B37" s="367"/>
      <c r="C37" s="367"/>
      <c r="D37" s="367"/>
      <c r="E37" s="367"/>
      <c r="F37" s="367"/>
    </row>
    <row r="38" spans="1:6" ht="22.5">
      <c r="A38" s="368" t="s">
        <v>36</v>
      </c>
      <c r="B38" s="369" t="s">
        <v>35</v>
      </c>
      <c r="C38" s="688" t="s">
        <v>313</v>
      </c>
      <c r="D38" s="689"/>
      <c r="E38" s="690" t="s">
        <v>38</v>
      </c>
      <c r="F38" s="689"/>
    </row>
    <row r="39" spans="1:6" ht="22.5">
      <c r="A39" s="374" t="s">
        <v>3</v>
      </c>
      <c r="B39" s="371"/>
      <c r="C39" s="400">
        <v>3163356</v>
      </c>
      <c r="D39" s="401">
        <v>29</v>
      </c>
      <c r="E39" s="374"/>
      <c r="F39" s="375"/>
    </row>
    <row r="40" spans="1:6" ht="22.5">
      <c r="A40" s="370" t="s">
        <v>4</v>
      </c>
      <c r="B40" s="377"/>
      <c r="C40" s="378"/>
      <c r="D40" s="379"/>
      <c r="E40" s="378">
        <f>C39</f>
        <v>3163356</v>
      </c>
      <c r="F40" s="402">
        <f>D39</f>
        <v>29</v>
      </c>
    </row>
    <row r="41" spans="1:6" ht="22.5">
      <c r="A41" s="370"/>
      <c r="B41" s="377"/>
      <c r="C41" s="378"/>
      <c r="D41" s="379"/>
      <c r="E41" s="381"/>
      <c r="F41" s="382"/>
    </row>
    <row r="42" spans="1:6" ht="22.5">
      <c r="A42" s="370"/>
      <c r="B42" s="377"/>
      <c r="C42" s="381"/>
      <c r="D42" s="379"/>
      <c r="E42" s="381"/>
      <c r="F42" s="382"/>
    </row>
    <row r="43" spans="1:6" ht="22.5">
      <c r="A43" s="370"/>
      <c r="B43" s="377"/>
      <c r="C43" s="378"/>
      <c r="D43" s="379"/>
      <c r="E43" s="381"/>
      <c r="F43" s="382"/>
    </row>
    <row r="44" spans="1:6" ht="22.5">
      <c r="A44" s="370"/>
      <c r="B44" s="377"/>
      <c r="C44" s="378"/>
      <c r="D44" s="379"/>
      <c r="E44" s="381"/>
      <c r="F44" s="403"/>
    </row>
    <row r="45" spans="1:6" ht="22.5">
      <c r="A45" s="370"/>
      <c r="B45" s="377"/>
      <c r="C45" s="378"/>
      <c r="D45" s="379"/>
      <c r="E45" s="378"/>
      <c r="F45" s="382"/>
    </row>
    <row r="46" spans="1:6" ht="22.5">
      <c r="A46" s="370"/>
      <c r="B46" s="377"/>
      <c r="C46" s="370"/>
      <c r="D46" s="379"/>
      <c r="E46" s="378"/>
      <c r="F46" s="382"/>
    </row>
    <row r="47" spans="1:6" ht="22.5">
      <c r="A47" s="370"/>
      <c r="B47" s="377"/>
      <c r="C47" s="370"/>
      <c r="D47" s="379"/>
      <c r="E47" s="378"/>
      <c r="F47" s="382"/>
    </row>
    <row r="48" spans="1:6" ht="22.5">
      <c r="A48" s="384"/>
      <c r="B48" s="385"/>
      <c r="C48" s="386"/>
      <c r="D48" s="387"/>
      <c r="E48" s="388"/>
      <c r="F48" s="387"/>
    </row>
    <row r="49" spans="1:6" ht="22.5">
      <c r="A49" s="393"/>
      <c r="B49" s="390"/>
      <c r="C49" s="404"/>
      <c r="D49" s="379"/>
      <c r="E49" s="392"/>
      <c r="F49" s="382"/>
    </row>
    <row r="50" spans="1:6" ht="22.5">
      <c r="A50" s="389" t="s">
        <v>321</v>
      </c>
      <c r="B50" s="390"/>
      <c r="C50" s="391"/>
      <c r="D50" s="379"/>
      <c r="E50" s="392"/>
      <c r="F50" s="382"/>
    </row>
    <row r="51" spans="1:6" ht="22.5">
      <c r="A51" s="683" t="s">
        <v>5</v>
      </c>
      <c r="B51" s="684"/>
      <c r="C51" s="684"/>
      <c r="D51" s="684"/>
      <c r="E51" s="684"/>
      <c r="F51" s="685"/>
    </row>
    <row r="52" spans="1:6" ht="22.5">
      <c r="A52" s="393" t="s">
        <v>6</v>
      </c>
      <c r="B52" s="390"/>
      <c r="C52" s="391"/>
      <c r="D52" s="379"/>
      <c r="E52" s="392"/>
      <c r="F52" s="382"/>
    </row>
    <row r="53" spans="1:6" ht="22.5">
      <c r="A53" s="393"/>
      <c r="B53" s="390"/>
      <c r="C53" s="391"/>
      <c r="D53" s="379"/>
      <c r="E53" s="392"/>
      <c r="F53" s="382"/>
    </row>
    <row r="54" spans="1:6" ht="22.5">
      <c r="A54" s="393"/>
      <c r="B54" s="390"/>
      <c r="C54" s="391"/>
      <c r="D54" s="379"/>
      <c r="E54" s="392"/>
      <c r="F54" s="382"/>
    </row>
    <row r="55" spans="1:6" ht="22.5">
      <c r="A55" s="393" t="s">
        <v>318</v>
      </c>
      <c r="B55" s="391"/>
      <c r="C55" s="391"/>
      <c r="D55" s="379"/>
      <c r="E55" s="391"/>
      <c r="F55" s="375"/>
    </row>
    <row r="56" spans="1:6" ht="22.5">
      <c r="A56" s="393"/>
      <c r="B56" s="391"/>
      <c r="C56" s="391"/>
      <c r="D56" s="379"/>
      <c r="E56" s="391"/>
      <c r="F56" s="375"/>
    </row>
    <row r="57" spans="1:6" ht="22.5">
      <c r="A57" s="393"/>
      <c r="B57" s="391"/>
      <c r="C57" s="391"/>
      <c r="D57" s="379"/>
      <c r="E57" s="391"/>
      <c r="F57" s="375"/>
    </row>
    <row r="58" spans="1:6" ht="22.5">
      <c r="A58" s="393"/>
      <c r="B58" s="391"/>
      <c r="C58" s="391"/>
      <c r="D58" s="379"/>
      <c r="E58" s="391"/>
      <c r="F58" s="375"/>
    </row>
    <row r="59" spans="1:6" ht="22.5">
      <c r="A59" s="393"/>
      <c r="B59" s="391"/>
      <c r="C59" s="391"/>
      <c r="D59" s="379"/>
      <c r="E59" s="391"/>
      <c r="F59" s="375"/>
    </row>
    <row r="60" spans="1:6" ht="22.5">
      <c r="A60" s="393"/>
      <c r="B60" s="391"/>
      <c r="C60" s="391"/>
      <c r="D60" s="379"/>
      <c r="E60" s="391"/>
      <c r="F60" s="375"/>
    </row>
    <row r="61" spans="1:6" ht="22.5">
      <c r="A61" s="384"/>
      <c r="B61" s="397"/>
      <c r="C61" s="397"/>
      <c r="D61" s="397"/>
      <c r="E61" s="397"/>
      <c r="F61" s="398"/>
    </row>
    <row r="62" spans="1:6" ht="22.5">
      <c r="A62" s="399"/>
      <c r="B62" s="399"/>
      <c r="C62" s="399"/>
      <c r="D62" s="408"/>
      <c r="E62" s="399"/>
      <c r="F62" s="399"/>
    </row>
    <row r="63" spans="1:6" ht="22.5">
      <c r="A63" s="391"/>
      <c r="B63" s="391"/>
      <c r="C63" s="391"/>
      <c r="D63" s="379"/>
      <c r="E63" s="391"/>
      <c r="F63" s="391"/>
    </row>
    <row r="64" spans="1:6" ht="22.5">
      <c r="A64" s="391"/>
      <c r="B64" s="391"/>
      <c r="C64" s="391"/>
      <c r="D64" s="379"/>
      <c r="E64" s="391"/>
      <c r="F64" s="391"/>
    </row>
    <row r="65" spans="1:6" ht="22.5">
      <c r="A65" s="391"/>
      <c r="B65" s="391"/>
      <c r="C65" s="391"/>
      <c r="D65" s="379"/>
      <c r="E65" s="391"/>
      <c r="F65" s="391"/>
    </row>
    <row r="66" spans="1:6" ht="22.5">
      <c r="A66" s="391"/>
      <c r="B66" s="391"/>
      <c r="C66" s="391"/>
      <c r="D66" s="391"/>
      <c r="E66" s="391"/>
      <c r="F66" s="391"/>
    </row>
    <row r="67" spans="1:6" ht="22.5">
      <c r="A67" s="686" t="s">
        <v>10</v>
      </c>
      <c r="B67" s="686"/>
      <c r="C67" s="686"/>
      <c r="D67" s="686"/>
      <c r="E67" s="686"/>
      <c r="F67" s="686"/>
    </row>
    <row r="68" spans="1:6" ht="22.5">
      <c r="A68" s="686" t="s">
        <v>11</v>
      </c>
      <c r="B68" s="686"/>
      <c r="C68" s="686"/>
      <c r="D68" s="686"/>
      <c r="E68" s="686"/>
      <c r="F68" s="686"/>
    </row>
    <row r="69" spans="1:6" ht="22.5">
      <c r="A69" s="687" t="s">
        <v>320</v>
      </c>
      <c r="B69" s="687"/>
      <c r="C69" s="687"/>
      <c r="D69" s="687"/>
      <c r="E69" s="687"/>
      <c r="F69" s="687"/>
    </row>
    <row r="70" spans="1:6" ht="22.5">
      <c r="A70" s="367" t="s">
        <v>312</v>
      </c>
      <c r="B70" s="367"/>
      <c r="C70" s="367"/>
      <c r="D70" s="367"/>
      <c r="E70" s="367"/>
      <c r="F70" s="367"/>
    </row>
    <row r="71" spans="1:6" ht="22.5">
      <c r="A71" s="368" t="s">
        <v>36</v>
      </c>
      <c r="B71" s="369" t="s">
        <v>35</v>
      </c>
      <c r="C71" s="688" t="s">
        <v>313</v>
      </c>
      <c r="D71" s="689"/>
      <c r="E71" s="690" t="s">
        <v>38</v>
      </c>
      <c r="F71" s="689"/>
    </row>
    <row r="72" spans="1:6" ht="22.5">
      <c r="A72" s="374" t="s">
        <v>3</v>
      </c>
      <c r="B72" s="371"/>
      <c r="C72" s="400">
        <v>10500</v>
      </c>
      <c r="D72" s="401">
        <v>0</v>
      </c>
      <c r="E72" s="374"/>
      <c r="F72" s="375"/>
    </row>
    <row r="73" spans="1:6" ht="22.5">
      <c r="A73" s="405" t="s">
        <v>44</v>
      </c>
      <c r="B73" s="377"/>
      <c r="C73" s="378"/>
      <c r="D73" s="379"/>
      <c r="E73" s="378">
        <f>C72</f>
        <v>10500</v>
      </c>
      <c r="F73" s="402">
        <f>D72</f>
        <v>0</v>
      </c>
    </row>
    <row r="74" spans="1:6" ht="22.5">
      <c r="A74" s="370"/>
      <c r="B74" s="377"/>
      <c r="C74" s="378"/>
      <c r="D74" s="379"/>
      <c r="E74" s="381"/>
      <c r="F74" s="382"/>
    </row>
    <row r="75" spans="1:6" ht="22.5">
      <c r="A75" s="370"/>
      <c r="B75" s="377"/>
      <c r="C75" s="381"/>
      <c r="D75" s="379"/>
      <c r="E75" s="381"/>
      <c r="F75" s="382"/>
    </row>
    <row r="76" spans="1:6" ht="22.5">
      <c r="A76" s="370"/>
      <c r="B76" s="377"/>
      <c r="C76" s="378"/>
      <c r="D76" s="379"/>
      <c r="E76" s="381"/>
      <c r="F76" s="382"/>
    </row>
    <row r="77" spans="1:6" ht="22.5">
      <c r="A77" s="370"/>
      <c r="B77" s="377"/>
      <c r="C77" s="378"/>
      <c r="D77" s="379"/>
      <c r="E77" s="381"/>
      <c r="F77" s="403"/>
    </row>
    <row r="78" spans="1:6" ht="22.5">
      <c r="A78" s="370"/>
      <c r="B78" s="377"/>
      <c r="C78" s="378"/>
      <c r="D78" s="379"/>
      <c r="E78" s="378"/>
      <c r="F78" s="382"/>
    </row>
    <row r="79" spans="1:6" ht="22.5">
      <c r="A79" s="370"/>
      <c r="B79" s="377"/>
      <c r="C79" s="370"/>
      <c r="D79" s="379"/>
      <c r="E79" s="378"/>
      <c r="F79" s="382"/>
    </row>
    <row r="80" spans="1:6" ht="22.5">
      <c r="A80" s="370"/>
      <c r="B80" s="377"/>
      <c r="C80" s="370"/>
      <c r="D80" s="379"/>
      <c r="E80" s="378"/>
      <c r="F80" s="382"/>
    </row>
    <row r="81" spans="1:6" ht="22.5">
      <c r="A81" s="384"/>
      <c r="B81" s="385"/>
      <c r="C81" s="386"/>
      <c r="D81" s="387"/>
      <c r="E81" s="388"/>
      <c r="F81" s="387"/>
    </row>
    <row r="82" spans="1:6" ht="22.5">
      <c r="A82" s="393"/>
      <c r="B82" s="390"/>
      <c r="C82" s="404"/>
      <c r="D82" s="379"/>
      <c r="E82" s="392"/>
      <c r="F82" s="382"/>
    </row>
    <row r="83" spans="1:6" ht="22.5">
      <c r="A83" s="389" t="s">
        <v>321</v>
      </c>
      <c r="B83" s="390"/>
      <c r="C83" s="391"/>
      <c r="D83" s="379"/>
      <c r="E83" s="392"/>
      <c r="F83" s="382"/>
    </row>
    <row r="84" spans="1:6" ht="22.5">
      <c r="A84" s="683" t="s">
        <v>12</v>
      </c>
      <c r="B84" s="684"/>
      <c r="C84" s="684"/>
      <c r="D84" s="684"/>
      <c r="E84" s="684"/>
      <c r="F84" s="685"/>
    </row>
    <row r="85" spans="1:6" ht="22.5">
      <c r="A85" s="393" t="s">
        <v>13</v>
      </c>
      <c r="B85" s="390"/>
      <c r="C85" s="391"/>
      <c r="D85" s="379"/>
      <c r="E85" s="392"/>
      <c r="F85" s="382"/>
    </row>
    <row r="86" spans="1:6" ht="22.5">
      <c r="A86" s="393"/>
      <c r="B86" s="390"/>
      <c r="C86" s="391"/>
      <c r="D86" s="379"/>
      <c r="E86" s="392"/>
      <c r="F86" s="382"/>
    </row>
    <row r="87" spans="1:6" ht="22.5">
      <c r="A87" s="393"/>
      <c r="B87" s="390"/>
      <c r="C87" s="391"/>
      <c r="D87" s="379"/>
      <c r="E87" s="392"/>
      <c r="F87" s="382"/>
    </row>
    <row r="88" spans="1:6" ht="22.5">
      <c r="A88" s="393" t="s">
        <v>318</v>
      </c>
      <c r="B88" s="391"/>
      <c r="C88" s="391"/>
      <c r="D88" s="379"/>
      <c r="E88" s="391"/>
      <c r="F88" s="375"/>
    </row>
    <row r="89" spans="1:6" ht="22.5">
      <c r="A89" s="393"/>
      <c r="B89" s="391"/>
      <c r="C89" s="391"/>
      <c r="D89" s="379"/>
      <c r="E89" s="391"/>
      <c r="F89" s="375"/>
    </row>
    <row r="90" spans="1:6" ht="22.5">
      <c r="A90" s="393"/>
      <c r="B90" s="391"/>
      <c r="C90" s="391"/>
      <c r="D90" s="379"/>
      <c r="E90" s="391"/>
      <c r="F90" s="375"/>
    </row>
    <row r="91" spans="1:6" ht="22.5">
      <c r="A91" s="393"/>
      <c r="B91" s="391"/>
      <c r="C91" s="391"/>
      <c r="D91" s="379"/>
      <c r="E91" s="391"/>
      <c r="F91" s="375"/>
    </row>
    <row r="92" spans="1:6" ht="22.5">
      <c r="A92" s="393"/>
      <c r="B92" s="391"/>
      <c r="C92" s="391"/>
      <c r="D92" s="379"/>
      <c r="E92" s="391"/>
      <c r="F92" s="375"/>
    </row>
    <row r="93" spans="1:6" ht="22.5">
      <c r="A93" s="393"/>
      <c r="B93" s="391"/>
      <c r="C93" s="391"/>
      <c r="D93" s="379"/>
      <c r="E93" s="391"/>
      <c r="F93" s="375"/>
    </row>
    <row r="94" spans="1:6" ht="22.5">
      <c r="A94" s="384"/>
      <c r="B94" s="397"/>
      <c r="C94" s="397"/>
      <c r="D94" s="397"/>
      <c r="E94" s="397"/>
      <c r="F94" s="398"/>
    </row>
    <row r="95" spans="1:6" ht="22.5">
      <c r="A95" s="399"/>
      <c r="B95" s="399"/>
      <c r="C95" s="399"/>
      <c r="D95" s="399"/>
      <c r="E95" s="399"/>
      <c r="F95" s="399"/>
    </row>
    <row r="96" spans="1:6" ht="22.5">
      <c r="A96" s="391"/>
      <c r="B96" s="391"/>
      <c r="C96" s="391"/>
      <c r="D96" s="391"/>
      <c r="E96" s="391"/>
      <c r="F96" s="391"/>
    </row>
    <row r="97" spans="1:6" ht="22.5">
      <c r="A97" s="391"/>
      <c r="B97" s="391"/>
      <c r="C97" s="391"/>
      <c r="D97" s="391"/>
      <c r="E97" s="391"/>
      <c r="F97" s="391"/>
    </row>
    <row r="98" spans="1:6" ht="22.5">
      <c r="A98" s="391"/>
      <c r="B98" s="391"/>
      <c r="C98" s="391"/>
      <c r="D98" s="391"/>
      <c r="E98" s="391"/>
      <c r="F98" s="391"/>
    </row>
    <row r="99" spans="1:6" ht="22.5">
      <c r="A99" s="391"/>
      <c r="B99" s="391"/>
      <c r="C99" s="391"/>
      <c r="D99" s="391"/>
      <c r="E99" s="391"/>
      <c r="F99" s="391"/>
    </row>
    <row r="100" spans="1:6" ht="22.5">
      <c r="A100" s="686" t="s">
        <v>10</v>
      </c>
      <c r="B100" s="686"/>
      <c r="C100" s="686"/>
      <c r="D100" s="686"/>
      <c r="E100" s="686"/>
      <c r="F100" s="686"/>
    </row>
    <row r="101" spans="1:6" ht="22.5">
      <c r="A101" s="686" t="s">
        <v>11</v>
      </c>
      <c r="B101" s="686"/>
      <c r="C101" s="686"/>
      <c r="D101" s="686"/>
      <c r="E101" s="686"/>
      <c r="F101" s="686"/>
    </row>
    <row r="102" spans="1:6" ht="22.5">
      <c r="A102" s="687" t="s">
        <v>320</v>
      </c>
      <c r="B102" s="687"/>
      <c r="C102" s="687"/>
      <c r="D102" s="687"/>
      <c r="E102" s="687"/>
      <c r="F102" s="687"/>
    </row>
    <row r="103" spans="1:6" ht="22.5">
      <c r="A103" s="367" t="s">
        <v>312</v>
      </c>
      <c r="B103" s="367"/>
      <c r="C103" s="367"/>
      <c r="D103" s="367"/>
      <c r="E103" s="367"/>
      <c r="F103" s="367"/>
    </row>
    <row r="104" spans="1:6" ht="22.5">
      <c r="A104" s="368" t="s">
        <v>36</v>
      </c>
      <c r="B104" s="369" t="s">
        <v>35</v>
      </c>
      <c r="C104" s="688" t="s">
        <v>313</v>
      </c>
      <c r="D104" s="689"/>
      <c r="E104" s="690" t="s">
        <v>38</v>
      </c>
      <c r="F104" s="689"/>
    </row>
    <row r="105" spans="1:6" ht="22.5">
      <c r="A105" s="374" t="s">
        <v>3</v>
      </c>
      <c r="B105" s="371"/>
      <c r="C105" s="400">
        <v>40000</v>
      </c>
      <c r="D105" s="401">
        <v>0</v>
      </c>
      <c r="E105" s="374"/>
      <c r="F105" s="375"/>
    </row>
    <row r="106" spans="1:6" ht="22.5">
      <c r="A106" s="370" t="s">
        <v>8</v>
      </c>
      <c r="B106" s="377"/>
      <c r="C106" s="378"/>
      <c r="D106" s="379"/>
      <c r="E106" s="378">
        <f>C105</f>
        <v>40000</v>
      </c>
      <c r="F106" s="402">
        <f>D105</f>
        <v>0</v>
      </c>
    </row>
    <row r="107" spans="1:6" ht="22.5">
      <c r="A107" s="370"/>
      <c r="B107" s="377"/>
      <c r="C107" s="378"/>
      <c r="D107" s="379"/>
      <c r="E107" s="381"/>
      <c r="F107" s="382"/>
    </row>
    <row r="108" spans="1:6" ht="22.5">
      <c r="A108" s="370"/>
      <c r="B108" s="377"/>
      <c r="C108" s="381"/>
      <c r="D108" s="379"/>
      <c r="E108" s="381"/>
      <c r="F108" s="382"/>
    </row>
    <row r="109" spans="1:6" ht="22.5">
      <c r="A109" s="370"/>
      <c r="B109" s="377"/>
      <c r="C109" s="378"/>
      <c r="D109" s="379"/>
      <c r="E109" s="381"/>
      <c r="F109" s="382"/>
    </row>
    <row r="110" spans="1:6" ht="22.5">
      <c r="A110" s="370"/>
      <c r="B110" s="377"/>
      <c r="C110" s="378"/>
      <c r="D110" s="379"/>
      <c r="E110" s="381"/>
      <c r="F110" s="403"/>
    </row>
    <row r="111" spans="1:6" ht="22.5">
      <c r="A111" s="370"/>
      <c r="B111" s="377"/>
      <c r="C111" s="378"/>
      <c r="D111" s="379"/>
      <c r="E111" s="378"/>
      <c r="F111" s="382"/>
    </row>
    <row r="112" spans="1:6" ht="22.5">
      <c r="A112" s="370"/>
      <c r="B112" s="377"/>
      <c r="C112" s="370"/>
      <c r="D112" s="379"/>
      <c r="E112" s="378"/>
      <c r="F112" s="382"/>
    </row>
    <row r="113" spans="1:6" ht="22.5">
      <c r="A113" s="370"/>
      <c r="B113" s="377"/>
      <c r="C113" s="370"/>
      <c r="D113" s="379"/>
      <c r="E113" s="378"/>
      <c r="F113" s="382"/>
    </row>
    <row r="114" spans="1:6" ht="22.5">
      <c r="A114" s="384"/>
      <c r="B114" s="385"/>
      <c r="C114" s="386"/>
      <c r="D114" s="387"/>
      <c r="E114" s="388"/>
      <c r="F114" s="387"/>
    </row>
    <row r="115" spans="1:6" ht="22.5">
      <c r="A115" s="393"/>
      <c r="B115" s="390"/>
      <c r="C115" s="404"/>
      <c r="D115" s="379"/>
      <c r="E115" s="392"/>
      <c r="F115" s="382"/>
    </row>
    <row r="116" spans="1:6" ht="22.5">
      <c r="A116" s="389" t="s">
        <v>321</v>
      </c>
      <c r="B116" s="390"/>
      <c r="C116" s="391"/>
      <c r="D116" s="379"/>
      <c r="E116" s="392"/>
      <c r="F116" s="382"/>
    </row>
    <row r="117" spans="1:6" ht="22.5">
      <c r="A117" s="683" t="s">
        <v>14</v>
      </c>
      <c r="B117" s="684"/>
      <c r="C117" s="684"/>
      <c r="D117" s="684"/>
      <c r="E117" s="684"/>
      <c r="F117" s="685"/>
    </row>
    <row r="118" spans="1:6" ht="22.5">
      <c r="A118" s="393" t="s">
        <v>6</v>
      </c>
      <c r="B118" s="390"/>
      <c r="C118" s="391"/>
      <c r="D118" s="379"/>
      <c r="E118" s="392"/>
      <c r="F118" s="382"/>
    </row>
    <row r="119" spans="1:6" ht="22.5">
      <c r="A119" s="393"/>
      <c r="B119" s="390"/>
      <c r="C119" s="391"/>
      <c r="D119" s="379"/>
      <c r="E119" s="392"/>
      <c r="F119" s="382"/>
    </row>
    <row r="120" spans="1:6" ht="22.5">
      <c r="A120" s="393"/>
      <c r="B120" s="390"/>
      <c r="C120" s="391"/>
      <c r="D120" s="379"/>
      <c r="E120" s="392"/>
      <c r="F120" s="382"/>
    </row>
    <row r="121" spans="1:6" ht="22.5">
      <c r="A121" s="393" t="s">
        <v>318</v>
      </c>
      <c r="B121" s="391"/>
      <c r="C121" s="391"/>
      <c r="D121" s="379"/>
      <c r="E121" s="391"/>
      <c r="F121" s="375"/>
    </row>
    <row r="122" spans="1:6" ht="22.5">
      <c r="A122" s="393"/>
      <c r="B122" s="391"/>
      <c r="C122" s="391"/>
      <c r="D122" s="379"/>
      <c r="E122" s="391"/>
      <c r="F122" s="375"/>
    </row>
    <row r="123" spans="1:6" ht="22.5">
      <c r="A123" s="393"/>
      <c r="B123" s="391"/>
      <c r="C123" s="391"/>
      <c r="D123" s="379"/>
      <c r="E123" s="391"/>
      <c r="F123" s="375"/>
    </row>
    <row r="124" spans="1:6" ht="22.5">
      <c r="A124" s="393"/>
      <c r="B124" s="391"/>
      <c r="C124" s="391"/>
      <c r="D124" s="379"/>
      <c r="E124" s="391"/>
      <c r="F124" s="375"/>
    </row>
    <row r="125" spans="1:6" ht="22.5">
      <c r="A125" s="393"/>
      <c r="B125" s="391"/>
      <c r="C125" s="391"/>
      <c r="D125" s="379"/>
      <c r="E125" s="391"/>
      <c r="F125" s="375"/>
    </row>
    <row r="126" spans="1:6" ht="22.5">
      <c r="A126" s="393"/>
      <c r="B126" s="391"/>
      <c r="C126" s="391"/>
      <c r="D126" s="379"/>
      <c r="E126" s="391"/>
      <c r="F126" s="375"/>
    </row>
    <row r="127" spans="1:6" ht="22.5">
      <c r="A127" s="384"/>
      <c r="B127" s="397"/>
      <c r="C127" s="397"/>
      <c r="D127" s="397"/>
      <c r="E127" s="397"/>
      <c r="F127" s="398"/>
    </row>
  </sheetData>
  <sheetProtection/>
  <mergeCells count="24">
    <mergeCell ref="A34:F34"/>
    <mergeCell ref="C38:D38"/>
    <mergeCell ref="E38:F38"/>
    <mergeCell ref="A51:F51"/>
    <mergeCell ref="A68:F68"/>
    <mergeCell ref="A69:F69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</mergeCells>
  <printOptions/>
  <pageMargins left="0.85" right="0.59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172"/>
  <sheetViews>
    <sheetView zoomScaleSheetLayoutView="96" zoomScalePageLayoutView="0" workbookViewId="0" topLeftCell="A140">
      <selection activeCell="K158" sqref="K158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686" t="s">
        <v>374</v>
      </c>
      <c r="B1" s="686"/>
      <c r="C1" s="686"/>
      <c r="D1" s="686"/>
    </row>
    <row r="2" spans="1:4" ht="22.5">
      <c r="A2" s="686" t="s">
        <v>476</v>
      </c>
      <c r="B2" s="686"/>
      <c r="C2" s="686"/>
      <c r="D2" s="686"/>
    </row>
    <row r="3" spans="1:4" ht="22.5">
      <c r="A3" s="687" t="s">
        <v>320</v>
      </c>
      <c r="B3" s="687"/>
      <c r="C3" s="687"/>
      <c r="D3" s="687"/>
    </row>
    <row r="4" spans="1:4" ht="22.5">
      <c r="A4" s="367" t="s">
        <v>312</v>
      </c>
      <c r="B4" s="367"/>
      <c r="C4" s="367"/>
      <c r="D4" s="367"/>
    </row>
    <row r="5" spans="1:4" ht="22.5">
      <c r="A5" s="368" t="s">
        <v>36</v>
      </c>
      <c r="B5" s="369" t="s">
        <v>35</v>
      </c>
      <c r="C5" s="471" t="s">
        <v>313</v>
      </c>
      <c r="D5" s="471" t="s">
        <v>38</v>
      </c>
    </row>
    <row r="6" spans="1:4" ht="23.25">
      <c r="A6" s="451" t="s">
        <v>39</v>
      </c>
      <c r="B6" s="456"/>
      <c r="C6" s="501">
        <v>7675</v>
      </c>
      <c r="D6" s="374"/>
    </row>
    <row r="7" spans="1:4" ht="23.25">
      <c r="A7" s="101" t="s">
        <v>98</v>
      </c>
      <c r="B7" s="457"/>
      <c r="C7" s="500">
        <f>5436887.73</f>
        <v>5436887.73</v>
      </c>
      <c r="D7" s="381"/>
    </row>
    <row r="8" spans="1:4" ht="23.25">
      <c r="A8" s="101" t="s">
        <v>97</v>
      </c>
      <c r="B8" s="457"/>
      <c r="C8" s="500">
        <f>1936.2+357.61</f>
        <v>2293.81</v>
      </c>
      <c r="D8" s="381"/>
    </row>
    <row r="9" spans="1:4" ht="23.25">
      <c r="A9" s="101" t="s">
        <v>99</v>
      </c>
      <c r="B9" s="457"/>
      <c r="C9" s="500">
        <v>12889703.85</v>
      </c>
      <c r="D9" s="381"/>
    </row>
    <row r="10" spans="1:4" ht="23.25">
      <c r="A10" s="101" t="s">
        <v>100</v>
      </c>
      <c r="B10" s="472"/>
      <c r="C10" s="500">
        <f>116753.37+8766</f>
        <v>125519.37</v>
      </c>
      <c r="D10" s="472"/>
    </row>
    <row r="11" spans="1:4" ht="23.25">
      <c r="A11" s="101" t="s">
        <v>101</v>
      </c>
      <c r="B11" s="457"/>
      <c r="C11" s="500">
        <v>3038832.92</v>
      </c>
      <c r="D11" s="381"/>
    </row>
    <row r="12" spans="1:4" ht="23.25">
      <c r="A12" s="101" t="s">
        <v>169</v>
      </c>
      <c r="B12" s="457"/>
      <c r="C12" s="500">
        <v>6439383.26</v>
      </c>
      <c r="D12" s="452"/>
    </row>
    <row r="13" spans="1:4" ht="23.25">
      <c r="A13" s="101" t="s">
        <v>477</v>
      </c>
      <c r="B13" s="457"/>
      <c r="C13" s="500">
        <v>8145.43</v>
      </c>
      <c r="D13" s="452"/>
    </row>
    <row r="14" spans="1:4" ht="23.25">
      <c r="A14" s="108" t="s">
        <v>478</v>
      </c>
      <c r="B14" s="457"/>
      <c r="C14" s="500">
        <v>67541.51</v>
      </c>
      <c r="D14" s="452"/>
    </row>
    <row r="15" spans="1:4" ht="23.25">
      <c r="A15" s="502" t="s">
        <v>354</v>
      </c>
      <c r="B15" s="457"/>
      <c r="C15" s="499"/>
      <c r="D15" s="452">
        <v>1029962</v>
      </c>
    </row>
    <row r="16" spans="1:4" ht="23.25">
      <c r="A16" s="502" t="s">
        <v>479</v>
      </c>
      <c r="B16" s="457"/>
      <c r="C16" s="499"/>
      <c r="D16" s="452">
        <v>1543460</v>
      </c>
    </row>
    <row r="17" spans="1:4" ht="23.25">
      <c r="A17" s="502" t="s">
        <v>370</v>
      </c>
      <c r="B17" s="457"/>
      <c r="C17" s="102"/>
      <c r="D17" s="452">
        <v>13367993.73</v>
      </c>
    </row>
    <row r="18" spans="1:4" ht="23.25">
      <c r="A18" s="502" t="s">
        <v>105</v>
      </c>
      <c r="B18" s="457"/>
      <c r="C18" s="102"/>
      <c r="D18" s="452">
        <v>10202558.85</v>
      </c>
    </row>
    <row r="19" spans="1:4" ht="23.25">
      <c r="A19" s="502" t="s">
        <v>480</v>
      </c>
      <c r="B19" s="457"/>
      <c r="C19" s="102"/>
      <c r="D19" s="452">
        <v>1872008.3</v>
      </c>
    </row>
    <row r="20" spans="1:6" ht="22.5">
      <c r="A20" s="384"/>
      <c r="B20" s="385"/>
      <c r="C20" s="504">
        <f>SUM(C6:C19)</f>
        <v>28015982.88</v>
      </c>
      <c r="D20" s="505">
        <f>SUM(D12:D19)</f>
        <v>28015982.88</v>
      </c>
      <c r="F20" s="503"/>
    </row>
    <row r="21" spans="1:4" ht="22.5">
      <c r="A21" s="393"/>
      <c r="B21" s="390"/>
      <c r="C21" s="458"/>
      <c r="D21" s="460"/>
    </row>
    <row r="22" spans="1:4" ht="22.5">
      <c r="A22" s="389" t="s">
        <v>321</v>
      </c>
      <c r="B22" s="390"/>
      <c r="C22" s="391"/>
      <c r="D22" s="461"/>
    </row>
    <row r="23" spans="1:6" ht="22.5">
      <c r="A23" s="683" t="s">
        <v>481</v>
      </c>
      <c r="B23" s="684"/>
      <c r="C23" s="684"/>
      <c r="D23" s="685"/>
      <c r="E23" s="459"/>
      <c r="F23" s="459"/>
    </row>
    <row r="24" spans="1:4" ht="22.5">
      <c r="A24" s="393"/>
      <c r="B24" s="390"/>
      <c r="C24" s="391"/>
      <c r="D24" s="461"/>
    </row>
    <row r="25" spans="1:4" ht="22.5">
      <c r="A25" s="393"/>
      <c r="B25" s="390"/>
      <c r="C25" s="391"/>
      <c r="D25" s="461"/>
    </row>
    <row r="26" spans="1:4" ht="22.5">
      <c r="A26" s="393"/>
      <c r="B26" s="390"/>
      <c r="C26" s="391"/>
      <c r="D26" s="461"/>
    </row>
    <row r="27" spans="1:4" ht="22.5">
      <c r="A27" s="393" t="s">
        <v>318</v>
      </c>
      <c r="B27" s="391"/>
      <c r="C27" s="391"/>
      <c r="D27" s="375"/>
    </row>
    <row r="28" spans="1:4" ht="22.5">
      <c r="A28" s="393"/>
      <c r="B28" s="391"/>
      <c r="C28" s="391"/>
      <c r="D28" s="375"/>
    </row>
    <row r="29" spans="1:4" ht="22.5">
      <c r="A29" s="393"/>
      <c r="B29" s="391"/>
      <c r="C29" s="391"/>
      <c r="D29" s="375"/>
    </row>
    <row r="30" spans="1:4" ht="22.5">
      <c r="A30" s="393"/>
      <c r="B30" s="391"/>
      <c r="C30" s="391"/>
      <c r="D30" s="375"/>
    </row>
    <row r="31" spans="1:4" ht="22.5">
      <c r="A31" s="393"/>
      <c r="B31" s="391"/>
      <c r="C31" s="391"/>
      <c r="D31" s="375"/>
    </row>
    <row r="32" spans="1:4" ht="22.5">
      <c r="A32" s="393"/>
      <c r="B32" s="391"/>
      <c r="C32" s="391"/>
      <c r="D32" s="375"/>
    </row>
    <row r="33" spans="1:4" ht="22.5">
      <c r="A33" s="384"/>
      <c r="B33" s="397"/>
      <c r="C33" s="397"/>
      <c r="D33" s="398"/>
    </row>
    <row r="37" spans="1:4" ht="22.5">
      <c r="A37" s="686" t="s">
        <v>482</v>
      </c>
      <c r="B37" s="686"/>
      <c r="C37" s="686"/>
      <c r="D37" s="686"/>
    </row>
    <row r="38" spans="1:4" ht="22.5">
      <c r="A38" s="686" t="s">
        <v>476</v>
      </c>
      <c r="B38" s="686"/>
      <c r="C38" s="686"/>
      <c r="D38" s="686"/>
    </row>
    <row r="39" spans="1:4" ht="22.5">
      <c r="A39" s="687" t="s">
        <v>320</v>
      </c>
      <c r="B39" s="687"/>
      <c r="C39" s="687"/>
      <c r="D39" s="687"/>
    </row>
    <row r="40" spans="1:4" ht="22.5">
      <c r="A40" s="367" t="s">
        <v>312</v>
      </c>
      <c r="B40" s="367"/>
      <c r="C40" s="367"/>
      <c r="D40" s="367"/>
    </row>
    <row r="41" spans="1:4" ht="22.5">
      <c r="A41" s="368" t="s">
        <v>36</v>
      </c>
      <c r="B41" s="369" t="s">
        <v>35</v>
      </c>
      <c r="C41" s="471" t="s">
        <v>313</v>
      </c>
      <c r="D41" s="471" t="s">
        <v>38</v>
      </c>
    </row>
    <row r="42" spans="1:4" ht="23.25">
      <c r="A42" s="451" t="s">
        <v>49</v>
      </c>
      <c r="B42" s="456"/>
      <c r="C42" s="501">
        <v>67541.51</v>
      </c>
      <c r="D42" s="374"/>
    </row>
    <row r="43" spans="1:4" ht="23.25">
      <c r="A43" s="502" t="s">
        <v>41</v>
      </c>
      <c r="B43" s="457"/>
      <c r="C43" s="499"/>
      <c r="D43" s="452">
        <f>+C42</f>
        <v>67541.51</v>
      </c>
    </row>
    <row r="44" spans="1:4" ht="23.25">
      <c r="A44" s="502"/>
      <c r="B44" s="457"/>
      <c r="C44" s="499"/>
      <c r="D44" s="452"/>
    </row>
    <row r="45" spans="1:4" ht="23.25">
      <c r="A45" s="502"/>
      <c r="B45" s="457"/>
      <c r="C45" s="499"/>
      <c r="D45" s="452"/>
    </row>
    <row r="46" spans="1:4" ht="23.25">
      <c r="A46" s="502"/>
      <c r="B46" s="457"/>
      <c r="C46" s="499"/>
      <c r="D46" s="452"/>
    </row>
    <row r="47" spans="1:4" ht="23.25">
      <c r="A47" s="502"/>
      <c r="B47" s="457"/>
      <c r="C47" s="499"/>
      <c r="D47" s="452"/>
    </row>
    <row r="48" spans="1:4" ht="23.25">
      <c r="A48" s="502"/>
      <c r="B48" s="457"/>
      <c r="C48" s="499"/>
      <c r="D48" s="452"/>
    </row>
    <row r="49" spans="1:4" ht="23.25">
      <c r="A49" s="502"/>
      <c r="B49" s="457"/>
      <c r="C49" s="499"/>
      <c r="D49" s="452"/>
    </row>
    <row r="50" spans="1:4" ht="23.25">
      <c r="A50" s="502"/>
      <c r="B50" s="457"/>
      <c r="C50" s="499"/>
      <c r="D50" s="452"/>
    </row>
    <row r="51" spans="1:4" ht="22.5">
      <c r="A51" s="384"/>
      <c r="B51" s="385"/>
      <c r="C51" s="504">
        <f>SUM(C42:C43)</f>
        <v>67541.51</v>
      </c>
      <c r="D51" s="505">
        <f>SUM(D43:D43)</f>
        <v>67541.51</v>
      </c>
    </row>
    <row r="52" spans="1:4" ht="22.5">
      <c r="A52" s="393"/>
      <c r="B52" s="390"/>
      <c r="C52" s="458"/>
      <c r="D52" s="460"/>
    </row>
    <row r="53" spans="1:4" ht="22.5">
      <c r="A53" s="389" t="s">
        <v>321</v>
      </c>
      <c r="B53" s="390"/>
      <c r="C53" s="391"/>
      <c r="D53" s="461"/>
    </row>
    <row r="54" spans="1:4" ht="22.5">
      <c r="A54" s="683" t="s">
        <v>483</v>
      </c>
      <c r="B54" s="684"/>
      <c r="C54" s="684"/>
      <c r="D54" s="685"/>
    </row>
    <row r="55" spans="1:4" ht="22.5">
      <c r="A55" s="393"/>
      <c r="B55" s="390"/>
      <c r="C55" s="391"/>
      <c r="D55" s="461"/>
    </row>
    <row r="56" spans="1:4" ht="22.5">
      <c r="A56" s="393"/>
      <c r="B56" s="390"/>
      <c r="C56" s="391"/>
      <c r="D56" s="461"/>
    </row>
    <row r="57" spans="1:4" ht="22.5">
      <c r="A57" s="393"/>
      <c r="B57" s="390"/>
      <c r="C57" s="391"/>
      <c r="D57" s="461"/>
    </row>
    <row r="58" spans="1:4" ht="22.5">
      <c r="A58" s="393" t="s">
        <v>318</v>
      </c>
      <c r="B58" s="391"/>
      <c r="C58" s="391"/>
      <c r="D58" s="375"/>
    </row>
    <row r="59" spans="1:4" ht="22.5">
      <c r="A59" s="393"/>
      <c r="B59" s="391"/>
      <c r="C59" s="391"/>
      <c r="D59" s="375"/>
    </row>
    <row r="60" spans="1:4" ht="22.5">
      <c r="A60" s="393"/>
      <c r="B60" s="391"/>
      <c r="C60" s="391"/>
      <c r="D60" s="375"/>
    </row>
    <row r="61" spans="1:4" ht="22.5">
      <c r="A61" s="393"/>
      <c r="B61" s="391"/>
      <c r="C61" s="391"/>
      <c r="D61" s="375"/>
    </row>
    <row r="62" spans="1:4" ht="22.5">
      <c r="A62" s="393"/>
      <c r="B62" s="391"/>
      <c r="C62" s="391"/>
      <c r="D62" s="375"/>
    </row>
    <row r="63" spans="1:4" ht="22.5">
      <c r="A63" s="393"/>
      <c r="B63" s="391"/>
      <c r="C63" s="391"/>
      <c r="D63" s="375"/>
    </row>
    <row r="64" spans="1:4" ht="22.5">
      <c r="A64" s="384"/>
      <c r="B64" s="397"/>
      <c r="C64" s="397"/>
      <c r="D64" s="398"/>
    </row>
    <row r="73" spans="1:4" ht="22.5">
      <c r="A73" s="686" t="s">
        <v>484</v>
      </c>
      <c r="B73" s="686"/>
      <c r="C73" s="686"/>
      <c r="D73" s="686"/>
    </row>
    <row r="74" spans="1:4" ht="22.5">
      <c r="A74" s="686" t="s">
        <v>476</v>
      </c>
      <c r="B74" s="686"/>
      <c r="C74" s="686"/>
      <c r="D74" s="686"/>
    </row>
    <row r="75" spans="1:4" ht="22.5">
      <c r="A75" s="687" t="s">
        <v>320</v>
      </c>
      <c r="B75" s="687"/>
      <c r="C75" s="687"/>
      <c r="D75" s="687"/>
    </row>
    <row r="76" spans="1:4" ht="22.5">
      <c r="A76" s="367" t="s">
        <v>312</v>
      </c>
      <c r="B76" s="367"/>
      <c r="C76" s="367"/>
      <c r="D76" s="367"/>
    </row>
    <row r="77" spans="1:4" ht="22.5">
      <c r="A77" s="368" t="s">
        <v>36</v>
      </c>
      <c r="B77" s="369" t="s">
        <v>35</v>
      </c>
      <c r="C77" s="471" t="s">
        <v>313</v>
      </c>
      <c r="D77" s="471" t="s">
        <v>38</v>
      </c>
    </row>
    <row r="78" spans="1:4" ht="23.25">
      <c r="A78" s="451" t="s">
        <v>41</v>
      </c>
      <c r="B78" s="456"/>
      <c r="C78" s="501">
        <v>68187.05</v>
      </c>
      <c r="D78" s="374"/>
    </row>
    <row r="79" spans="1:4" ht="23.25">
      <c r="A79" s="502" t="s">
        <v>49</v>
      </c>
      <c r="B79" s="457"/>
      <c r="C79" s="499"/>
      <c r="D79" s="452">
        <f>+C78</f>
        <v>68187.05</v>
      </c>
    </row>
    <row r="80" spans="1:4" ht="23.25">
      <c r="A80" s="502"/>
      <c r="B80" s="457"/>
      <c r="C80" s="499"/>
      <c r="D80" s="452"/>
    </row>
    <row r="81" spans="1:4" ht="23.25">
      <c r="A81" s="502"/>
      <c r="B81" s="457"/>
      <c r="C81" s="499"/>
      <c r="D81" s="452"/>
    </row>
    <row r="82" spans="1:4" ht="23.25">
      <c r="A82" s="502"/>
      <c r="B82" s="457"/>
      <c r="C82" s="499"/>
      <c r="D82" s="452"/>
    </row>
    <row r="83" spans="1:4" ht="23.25">
      <c r="A83" s="502"/>
      <c r="B83" s="457"/>
      <c r="C83" s="499"/>
      <c r="D83" s="452"/>
    </row>
    <row r="84" spans="1:4" ht="23.25">
      <c r="A84" s="502"/>
      <c r="B84" s="457"/>
      <c r="C84" s="499"/>
      <c r="D84" s="452"/>
    </row>
    <row r="85" spans="1:4" ht="23.25">
      <c r="A85" s="502"/>
      <c r="B85" s="457"/>
      <c r="C85" s="499"/>
      <c r="D85" s="452"/>
    </row>
    <row r="86" spans="1:4" ht="23.25">
      <c r="A86" s="502"/>
      <c r="B86" s="457"/>
      <c r="C86" s="499"/>
      <c r="D86" s="452"/>
    </row>
    <row r="87" spans="1:4" ht="22.5">
      <c r="A87" s="384"/>
      <c r="B87" s="385"/>
      <c r="C87" s="504">
        <f>SUM(C78:C79)</f>
        <v>68187.05</v>
      </c>
      <c r="D87" s="505">
        <f>SUM(D79:D79)</f>
        <v>68187.05</v>
      </c>
    </row>
    <row r="88" spans="1:4" ht="22.5">
      <c r="A88" s="393"/>
      <c r="B88" s="390"/>
      <c r="C88" s="458"/>
      <c r="D88" s="460"/>
    </row>
    <row r="89" spans="1:4" ht="22.5">
      <c r="A89" s="389" t="s">
        <v>321</v>
      </c>
      <c r="B89" s="390"/>
      <c r="C89" s="391"/>
      <c r="D89" s="461"/>
    </row>
    <row r="90" spans="1:4" ht="22.5">
      <c r="A90" s="683" t="s">
        <v>485</v>
      </c>
      <c r="B90" s="684"/>
      <c r="C90" s="684"/>
      <c r="D90" s="685"/>
    </row>
    <row r="91" spans="1:4" ht="22.5">
      <c r="A91" s="393"/>
      <c r="B91" s="390"/>
      <c r="C91" s="391"/>
      <c r="D91" s="461"/>
    </row>
    <row r="92" spans="1:4" ht="22.5">
      <c r="A92" s="393"/>
      <c r="B92" s="390"/>
      <c r="C92" s="391"/>
      <c r="D92" s="461"/>
    </row>
    <row r="93" spans="1:4" ht="22.5">
      <c r="A93" s="393"/>
      <c r="B93" s="390"/>
      <c r="C93" s="391"/>
      <c r="D93" s="461"/>
    </row>
    <row r="94" spans="1:4" ht="22.5">
      <c r="A94" s="393" t="s">
        <v>318</v>
      </c>
      <c r="B94" s="391"/>
      <c r="C94" s="391"/>
      <c r="D94" s="375"/>
    </row>
    <row r="95" spans="1:4" ht="22.5">
      <c r="A95" s="393"/>
      <c r="B95" s="391"/>
      <c r="C95" s="391"/>
      <c r="D95" s="375"/>
    </row>
    <row r="96" spans="1:4" ht="22.5">
      <c r="A96" s="393"/>
      <c r="B96" s="391"/>
      <c r="C96" s="391"/>
      <c r="D96" s="375"/>
    </row>
    <row r="97" spans="1:4" ht="22.5">
      <c r="A97" s="393"/>
      <c r="B97" s="391"/>
      <c r="C97" s="391"/>
      <c r="D97" s="375"/>
    </row>
    <row r="98" spans="1:4" ht="22.5">
      <c r="A98" s="393"/>
      <c r="B98" s="391"/>
      <c r="C98" s="391"/>
      <c r="D98" s="375"/>
    </row>
    <row r="99" spans="1:4" ht="22.5">
      <c r="A99" s="393"/>
      <c r="B99" s="391"/>
      <c r="C99" s="391"/>
      <c r="D99" s="375"/>
    </row>
    <row r="100" spans="1:4" ht="22.5">
      <c r="A100" s="384"/>
      <c r="B100" s="397"/>
      <c r="C100" s="397"/>
      <c r="D100" s="398"/>
    </row>
    <row r="109" spans="1:4" ht="22.5">
      <c r="A109" s="686" t="s">
        <v>486</v>
      </c>
      <c r="B109" s="686"/>
      <c r="C109" s="686"/>
      <c r="D109" s="686"/>
    </row>
    <row r="110" spans="1:4" ht="22.5">
      <c r="A110" s="686" t="s">
        <v>476</v>
      </c>
      <c r="B110" s="686"/>
      <c r="C110" s="686"/>
      <c r="D110" s="686"/>
    </row>
    <row r="111" spans="1:4" ht="22.5">
      <c r="A111" s="687" t="s">
        <v>320</v>
      </c>
      <c r="B111" s="687"/>
      <c r="C111" s="687"/>
      <c r="D111" s="687"/>
    </row>
    <row r="112" spans="1:4" ht="22.5">
      <c r="A112" s="367" t="s">
        <v>312</v>
      </c>
      <c r="B112" s="367"/>
      <c r="C112" s="367"/>
      <c r="D112" s="367"/>
    </row>
    <row r="113" spans="1:4" ht="22.5">
      <c r="A113" s="368" t="s">
        <v>36</v>
      </c>
      <c r="B113" s="369" t="s">
        <v>35</v>
      </c>
      <c r="C113" s="471" t="s">
        <v>313</v>
      </c>
      <c r="D113" s="471" t="s">
        <v>38</v>
      </c>
    </row>
    <row r="114" spans="1:4" ht="23.25">
      <c r="A114" s="456" t="s">
        <v>487</v>
      </c>
      <c r="B114" s="456"/>
      <c r="C114" s="501">
        <v>113.52</v>
      </c>
      <c r="D114" s="374"/>
    </row>
    <row r="115" spans="1:4" ht="23.25">
      <c r="A115" s="502" t="s">
        <v>49</v>
      </c>
      <c r="B115" s="457"/>
      <c r="C115" s="499"/>
      <c r="D115" s="452">
        <f>+C114</f>
        <v>113.52</v>
      </c>
    </row>
    <row r="116" spans="1:4" ht="23.25">
      <c r="A116" s="502"/>
      <c r="B116" s="457"/>
      <c r="C116" s="499"/>
      <c r="D116" s="452"/>
    </row>
    <row r="117" spans="1:4" ht="23.25">
      <c r="A117" s="502"/>
      <c r="B117" s="457"/>
      <c r="C117" s="499"/>
      <c r="D117" s="452"/>
    </row>
    <row r="118" spans="1:4" ht="23.25">
      <c r="A118" s="502"/>
      <c r="B118" s="457"/>
      <c r="C118" s="499"/>
      <c r="D118" s="452"/>
    </row>
    <row r="119" spans="1:4" ht="23.25">
      <c r="A119" s="502"/>
      <c r="B119" s="457"/>
      <c r="C119" s="499"/>
      <c r="D119" s="452"/>
    </row>
    <row r="120" spans="1:4" ht="23.25">
      <c r="A120" s="502"/>
      <c r="B120" s="457"/>
      <c r="C120" s="499"/>
      <c r="D120" s="452"/>
    </row>
    <row r="121" spans="1:4" ht="23.25">
      <c r="A121" s="502"/>
      <c r="B121" s="457"/>
      <c r="C121" s="499"/>
      <c r="D121" s="452"/>
    </row>
    <row r="122" spans="1:4" ht="23.25">
      <c r="A122" s="502"/>
      <c r="B122" s="457"/>
      <c r="C122" s="499"/>
      <c r="D122" s="452"/>
    </row>
    <row r="123" spans="1:4" ht="22.5">
      <c r="A123" s="384"/>
      <c r="B123" s="385"/>
      <c r="C123" s="504">
        <f>SUM(C114:C115)</f>
        <v>113.52</v>
      </c>
      <c r="D123" s="505">
        <f>SUM(D115:D115)</f>
        <v>113.52</v>
      </c>
    </row>
    <row r="124" spans="1:4" ht="22.5">
      <c r="A124" s="393"/>
      <c r="B124" s="390"/>
      <c r="C124" s="458"/>
      <c r="D124" s="460"/>
    </row>
    <row r="125" spans="1:4" ht="22.5">
      <c r="A125" s="389" t="s">
        <v>321</v>
      </c>
      <c r="B125" s="390"/>
      <c r="C125" s="391"/>
      <c r="D125" s="461"/>
    </row>
    <row r="126" spans="1:4" ht="22.5">
      <c r="A126" s="683" t="s">
        <v>488</v>
      </c>
      <c r="B126" s="684"/>
      <c r="C126" s="684"/>
      <c r="D126" s="685"/>
    </row>
    <row r="127" spans="1:4" ht="22.5">
      <c r="A127" s="393"/>
      <c r="B127" s="390"/>
      <c r="C127" s="391"/>
      <c r="D127" s="461"/>
    </row>
    <row r="128" spans="1:4" ht="22.5">
      <c r="A128" s="393"/>
      <c r="B128" s="390"/>
      <c r="C128" s="391"/>
      <c r="D128" s="461"/>
    </row>
    <row r="129" spans="1:4" ht="22.5">
      <c r="A129" s="393"/>
      <c r="B129" s="390"/>
      <c r="C129" s="391"/>
      <c r="D129" s="461"/>
    </row>
    <row r="130" spans="1:4" ht="22.5">
      <c r="A130" s="393" t="s">
        <v>318</v>
      </c>
      <c r="B130" s="391"/>
      <c r="C130" s="391"/>
      <c r="D130" s="375"/>
    </row>
    <row r="131" spans="1:4" ht="22.5">
      <c r="A131" s="393"/>
      <c r="B131" s="391"/>
      <c r="C131" s="391"/>
      <c r="D131" s="375"/>
    </row>
    <row r="132" spans="1:4" ht="22.5">
      <c r="A132" s="393"/>
      <c r="B132" s="391"/>
      <c r="C132" s="391"/>
      <c r="D132" s="375"/>
    </row>
    <row r="133" spans="1:4" ht="22.5">
      <c r="A133" s="393"/>
      <c r="B133" s="391"/>
      <c r="C133" s="391"/>
      <c r="D133" s="375"/>
    </row>
    <row r="134" spans="1:4" ht="22.5">
      <c r="A134" s="393"/>
      <c r="B134" s="391"/>
      <c r="C134" s="391"/>
      <c r="D134" s="375"/>
    </row>
    <row r="135" spans="1:4" ht="22.5">
      <c r="A135" s="393"/>
      <c r="B135" s="391"/>
      <c r="C135" s="391"/>
      <c r="D135" s="375"/>
    </row>
    <row r="136" spans="1:4" ht="22.5">
      <c r="A136" s="384"/>
      <c r="B136" s="397"/>
      <c r="C136" s="397"/>
      <c r="D136" s="398"/>
    </row>
    <row r="145" spans="1:4" ht="22.5">
      <c r="A145" s="686" t="s">
        <v>517</v>
      </c>
      <c r="B145" s="686"/>
      <c r="C145" s="686"/>
      <c r="D145" s="686"/>
    </row>
    <row r="146" spans="1:4" ht="22.5">
      <c r="A146" s="686" t="s">
        <v>476</v>
      </c>
      <c r="B146" s="686"/>
      <c r="C146" s="686"/>
      <c r="D146" s="686"/>
    </row>
    <row r="147" spans="1:4" ht="22.5">
      <c r="A147" s="687" t="s">
        <v>320</v>
      </c>
      <c r="B147" s="687"/>
      <c r="C147" s="687"/>
      <c r="D147" s="687"/>
    </row>
    <row r="148" spans="1:4" ht="22.5">
      <c r="A148" s="367" t="s">
        <v>312</v>
      </c>
      <c r="B148" s="367"/>
      <c r="C148" s="367"/>
      <c r="D148" s="367"/>
    </row>
    <row r="149" spans="1:4" ht="22.5">
      <c r="A149" s="368" t="s">
        <v>36</v>
      </c>
      <c r="B149" s="369" t="s">
        <v>35</v>
      </c>
      <c r="C149" s="471" t="s">
        <v>313</v>
      </c>
      <c r="D149" s="471" t="s">
        <v>38</v>
      </c>
    </row>
    <row r="150" spans="1:4" ht="23.25">
      <c r="A150" s="451" t="s">
        <v>518</v>
      </c>
      <c r="B150" s="456"/>
      <c r="C150" s="501">
        <v>260</v>
      </c>
      <c r="D150" s="374"/>
    </row>
    <row r="151" spans="1:4" ht="23.25">
      <c r="A151" s="502" t="s">
        <v>49</v>
      </c>
      <c r="B151" s="457"/>
      <c r="C151" s="499"/>
      <c r="D151" s="452">
        <f>+C150</f>
        <v>260</v>
      </c>
    </row>
    <row r="152" spans="1:4" ht="23.25">
      <c r="A152" s="502"/>
      <c r="B152" s="457"/>
      <c r="C152" s="499"/>
      <c r="D152" s="452"/>
    </row>
    <row r="153" spans="1:4" ht="23.25">
      <c r="A153" s="502"/>
      <c r="B153" s="457"/>
      <c r="C153" s="499"/>
      <c r="D153" s="452"/>
    </row>
    <row r="154" spans="1:4" ht="23.25">
      <c r="A154" s="502"/>
      <c r="B154" s="457"/>
      <c r="C154" s="499"/>
      <c r="D154" s="452"/>
    </row>
    <row r="155" spans="1:4" ht="23.25">
      <c r="A155" s="502"/>
      <c r="B155" s="457"/>
      <c r="C155" s="499"/>
      <c r="D155" s="452"/>
    </row>
    <row r="156" spans="1:4" ht="23.25">
      <c r="A156" s="502"/>
      <c r="B156" s="457"/>
      <c r="C156" s="499"/>
      <c r="D156" s="452"/>
    </row>
    <row r="157" spans="1:4" ht="23.25">
      <c r="A157" s="502"/>
      <c r="B157" s="457"/>
      <c r="C157" s="499"/>
      <c r="D157" s="452"/>
    </row>
    <row r="158" spans="1:4" ht="23.25">
      <c r="A158" s="502"/>
      <c r="B158" s="457"/>
      <c r="C158" s="499"/>
      <c r="D158" s="452"/>
    </row>
    <row r="159" spans="1:4" ht="22.5">
      <c r="A159" s="384"/>
      <c r="B159" s="385"/>
      <c r="C159" s="504">
        <f>SUM(C150:C151)</f>
        <v>260</v>
      </c>
      <c r="D159" s="505">
        <f>SUM(D151:D151)</f>
        <v>260</v>
      </c>
    </row>
    <row r="160" spans="1:4" ht="22.5">
      <c r="A160" s="393"/>
      <c r="B160" s="390"/>
      <c r="C160" s="458"/>
      <c r="D160" s="460"/>
    </row>
    <row r="161" spans="1:4" ht="22.5">
      <c r="A161" s="389" t="s">
        <v>321</v>
      </c>
      <c r="B161" s="390"/>
      <c r="C161" s="391"/>
      <c r="D161" s="461"/>
    </row>
    <row r="162" spans="1:4" ht="22.5">
      <c r="A162" s="683" t="s">
        <v>519</v>
      </c>
      <c r="B162" s="684"/>
      <c r="C162" s="684"/>
      <c r="D162" s="685"/>
    </row>
    <row r="163" spans="1:4" ht="22.5">
      <c r="A163" s="393"/>
      <c r="B163" s="390"/>
      <c r="C163" s="391"/>
      <c r="D163" s="461"/>
    </row>
    <row r="164" spans="1:4" ht="22.5">
      <c r="A164" s="393"/>
      <c r="B164" s="390"/>
      <c r="C164" s="391"/>
      <c r="D164" s="461"/>
    </row>
    <row r="165" spans="1:4" ht="22.5">
      <c r="A165" s="393"/>
      <c r="B165" s="390"/>
      <c r="C165" s="391"/>
      <c r="D165" s="461"/>
    </row>
    <row r="166" spans="1:4" ht="22.5">
      <c r="A166" s="393" t="s">
        <v>318</v>
      </c>
      <c r="B166" s="391"/>
      <c r="C166" s="391"/>
      <c r="D166" s="375"/>
    </row>
    <row r="167" spans="1:4" ht="22.5">
      <c r="A167" s="393"/>
      <c r="B167" s="391"/>
      <c r="C167" s="391"/>
      <c r="D167" s="375"/>
    </row>
    <row r="168" spans="1:4" ht="22.5">
      <c r="A168" s="393"/>
      <c r="B168" s="391"/>
      <c r="C168" s="391"/>
      <c r="D168" s="375"/>
    </row>
    <row r="169" spans="1:4" ht="22.5">
      <c r="A169" s="393"/>
      <c r="B169" s="391"/>
      <c r="C169" s="391"/>
      <c r="D169" s="375"/>
    </row>
    <row r="170" spans="1:4" ht="22.5">
      <c r="A170" s="393"/>
      <c r="B170" s="391"/>
      <c r="C170" s="391"/>
      <c r="D170" s="375"/>
    </row>
    <row r="171" spans="1:4" ht="22.5">
      <c r="A171" s="393"/>
      <c r="B171" s="391"/>
      <c r="C171" s="391"/>
      <c r="D171" s="375"/>
    </row>
    <row r="172" spans="1:4" ht="22.5">
      <c r="A172" s="384"/>
      <c r="B172" s="397"/>
      <c r="C172" s="397"/>
      <c r="D172" s="398"/>
    </row>
  </sheetData>
  <sheetProtection/>
  <mergeCells count="20">
    <mergeCell ref="A3:D3"/>
    <mergeCell ref="A23:D23"/>
    <mergeCell ref="A1:D1"/>
    <mergeCell ref="A2:D2"/>
    <mergeCell ref="A75:D75"/>
    <mergeCell ref="A90:D90"/>
    <mergeCell ref="A37:D37"/>
    <mergeCell ref="A38:D38"/>
    <mergeCell ref="A39:D39"/>
    <mergeCell ref="A54:D54"/>
    <mergeCell ref="A73:D73"/>
    <mergeCell ref="A74:D74"/>
    <mergeCell ref="A145:D145"/>
    <mergeCell ref="A146:D146"/>
    <mergeCell ref="A147:D147"/>
    <mergeCell ref="A162:D162"/>
    <mergeCell ref="A109:D109"/>
    <mergeCell ref="A110:D110"/>
    <mergeCell ref="A111:D111"/>
    <mergeCell ref="A126:D126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30"/>
  <sheetViews>
    <sheetView zoomScalePageLayoutView="0" workbookViewId="0" topLeftCell="A11">
      <selection activeCell="M13" sqref="M13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2.57421875" style="0" customWidth="1"/>
    <col min="14" max="14" width="13.57421875" style="0" bestFit="1" customWidth="1"/>
  </cols>
  <sheetData>
    <row r="1" spans="1:12" s="1" customFormat="1" ht="23.25">
      <c r="A1" s="624" t="s">
        <v>520</v>
      </c>
      <c r="B1" s="625"/>
      <c r="C1" s="625"/>
      <c r="D1" s="625"/>
      <c r="E1" s="625"/>
      <c r="F1" s="625"/>
      <c r="G1" s="625" t="s">
        <v>159</v>
      </c>
      <c r="H1" s="625"/>
      <c r="I1" s="625"/>
      <c r="J1" s="626"/>
      <c r="K1" s="2"/>
      <c r="L1" s="2"/>
    </row>
    <row r="2" spans="1:10" s="1" customFormat="1" ht="23.25">
      <c r="A2" s="627" t="s">
        <v>135</v>
      </c>
      <c r="B2" s="628"/>
      <c r="C2" s="628"/>
      <c r="D2" s="628"/>
      <c r="E2" s="628"/>
      <c r="F2" s="628"/>
      <c r="G2" s="83" t="s">
        <v>160</v>
      </c>
      <c r="H2" s="2"/>
      <c r="I2" s="2"/>
      <c r="J2" s="44"/>
    </row>
    <row r="3" spans="1:10" s="1" customFormat="1" ht="23.25">
      <c r="A3" s="629"/>
      <c r="B3" s="630"/>
      <c r="C3" s="630"/>
      <c r="D3" s="630"/>
      <c r="E3" s="630"/>
      <c r="F3" s="630"/>
      <c r="G3" s="631" t="s">
        <v>161</v>
      </c>
      <c r="H3" s="631"/>
      <c r="I3" s="631"/>
      <c r="J3" s="632"/>
    </row>
    <row r="4" spans="1:10" s="1" customFormat="1" ht="23.25">
      <c r="A4" s="52"/>
      <c r="B4" s="53"/>
      <c r="C4" s="53"/>
      <c r="D4" s="53"/>
      <c r="E4" s="53"/>
      <c r="F4" s="53"/>
      <c r="G4" s="633" t="s">
        <v>54</v>
      </c>
      <c r="H4" s="634"/>
      <c r="I4" s="634"/>
      <c r="J4" s="635"/>
    </row>
    <row r="5" spans="1:10" s="1" customFormat="1" ht="23.25">
      <c r="A5" s="5" t="s">
        <v>670</v>
      </c>
      <c r="B5" s="2"/>
      <c r="C5" s="2"/>
      <c r="D5" s="2"/>
      <c r="E5" s="2"/>
      <c r="F5" s="44"/>
      <c r="G5" s="636">
        <v>6475452.19</v>
      </c>
      <c r="H5" s="637"/>
      <c r="I5" s="637"/>
      <c r="J5" s="638"/>
    </row>
    <row r="6" spans="1:10" s="1" customFormat="1" ht="23.25">
      <c r="A6" s="5" t="s">
        <v>137</v>
      </c>
      <c r="B6" s="616"/>
      <c r="C6" s="617"/>
      <c r="D6" s="617"/>
      <c r="E6" s="617"/>
      <c r="F6" s="618"/>
      <c r="G6" s="5"/>
      <c r="H6" s="2"/>
      <c r="I6" s="2"/>
      <c r="J6" s="92"/>
    </row>
    <row r="7" spans="1:10" s="1" customFormat="1" ht="23.25">
      <c r="A7" s="5"/>
      <c r="B7" s="614" t="s">
        <v>36</v>
      </c>
      <c r="C7" s="614"/>
      <c r="D7" s="55" t="s">
        <v>138</v>
      </c>
      <c r="E7" s="55" t="s">
        <v>52</v>
      </c>
      <c r="G7" s="57"/>
      <c r="H7" s="58"/>
      <c r="I7" s="58"/>
      <c r="J7" s="59"/>
    </row>
    <row r="8" spans="1:10" s="1" customFormat="1" ht="23.25">
      <c r="A8" s="8"/>
      <c r="B8" s="615"/>
      <c r="C8" s="615"/>
      <c r="D8" s="2"/>
      <c r="E8" s="7" t="s">
        <v>92</v>
      </c>
      <c r="F8" s="60" t="s">
        <v>92</v>
      </c>
      <c r="G8" s="57"/>
      <c r="H8" s="61"/>
      <c r="I8" s="61"/>
      <c r="J8" s="62"/>
    </row>
    <row r="9" spans="1:10" s="1" customFormat="1" ht="23.25">
      <c r="A9" s="5" t="s">
        <v>139</v>
      </c>
      <c r="B9" s="2"/>
      <c r="C9" s="2"/>
      <c r="D9" s="2"/>
      <c r="E9" s="2"/>
      <c r="F9" s="44"/>
      <c r="G9" s="619"/>
      <c r="H9" s="620"/>
      <c r="I9" s="620"/>
      <c r="J9" s="621"/>
    </row>
    <row r="10" spans="1:10" s="1" customFormat="1" ht="23.25">
      <c r="A10" s="5"/>
      <c r="B10" s="614" t="s">
        <v>162</v>
      </c>
      <c r="C10" s="614"/>
      <c r="D10" s="2"/>
      <c r="E10" s="55" t="s">
        <v>138</v>
      </c>
      <c r="F10" s="56" t="s">
        <v>52</v>
      </c>
      <c r="G10" s="9"/>
      <c r="H10" s="4"/>
      <c r="I10" s="4"/>
      <c r="J10" s="64"/>
    </row>
    <row r="11" spans="1:10" s="1" customFormat="1" ht="23.25">
      <c r="A11" s="623" t="s">
        <v>279</v>
      </c>
      <c r="B11" s="617"/>
      <c r="C11" s="617"/>
      <c r="D11" s="617"/>
      <c r="E11" s="617"/>
      <c r="F11" s="618"/>
      <c r="G11" s="8"/>
      <c r="H11" s="10"/>
      <c r="I11" s="10"/>
      <c r="J11" s="269">
        <v>2527068.69</v>
      </c>
    </row>
    <row r="12" spans="1:12" s="1" customFormat="1" ht="23.25">
      <c r="A12" s="8"/>
      <c r="B12" s="610" t="s">
        <v>143</v>
      </c>
      <c r="C12" s="622"/>
      <c r="D12" s="2"/>
      <c r="E12" s="65" t="s">
        <v>144</v>
      </c>
      <c r="F12" s="66">
        <v>500</v>
      </c>
      <c r="G12" s="57"/>
      <c r="H12" s="61"/>
      <c r="I12" s="61"/>
      <c r="J12" s="67"/>
      <c r="L12" s="542"/>
    </row>
    <row r="13" spans="1:10" s="1" customFormat="1" ht="23.25">
      <c r="A13" s="8"/>
      <c r="B13" s="610" t="s">
        <v>145</v>
      </c>
      <c r="C13" s="611"/>
      <c r="D13" s="2"/>
      <c r="E13" s="65" t="s">
        <v>146</v>
      </c>
      <c r="F13" s="66">
        <v>300</v>
      </c>
      <c r="G13" s="8"/>
      <c r="H13" s="10"/>
      <c r="I13" s="10"/>
      <c r="J13" s="11"/>
    </row>
    <row r="14" spans="1:14" s="1" customFormat="1" ht="23.25">
      <c r="A14" s="8"/>
      <c r="B14" s="610" t="s">
        <v>147</v>
      </c>
      <c r="C14" s="611"/>
      <c r="D14" s="2"/>
      <c r="E14" s="65" t="s">
        <v>148</v>
      </c>
      <c r="F14" s="66">
        <v>391.82</v>
      </c>
      <c r="G14" s="8"/>
      <c r="H14" s="10"/>
      <c r="I14" s="10"/>
      <c r="J14" s="62"/>
      <c r="N14" s="542"/>
    </row>
    <row r="15" spans="1:10" s="1" customFormat="1" ht="23.25">
      <c r="A15" s="5"/>
      <c r="B15" s="610" t="s">
        <v>147</v>
      </c>
      <c r="C15" s="611"/>
      <c r="E15" s="65" t="s">
        <v>149</v>
      </c>
      <c r="F15" s="68">
        <v>2282.19</v>
      </c>
      <c r="J15" s="44"/>
    </row>
    <row r="16" spans="1:10" s="1" customFormat="1" ht="23.25">
      <c r="A16" s="5"/>
      <c r="B16" s="610" t="s">
        <v>150</v>
      </c>
      <c r="C16" s="611"/>
      <c r="E16" s="65" t="s">
        <v>151</v>
      </c>
      <c r="F16" s="68">
        <v>1060</v>
      </c>
      <c r="J16" s="44"/>
    </row>
    <row r="17" spans="1:10" s="1" customFormat="1" ht="23.25">
      <c r="A17" s="8"/>
      <c r="B17" s="610" t="s">
        <v>150</v>
      </c>
      <c r="C17" s="611"/>
      <c r="D17" s="2"/>
      <c r="E17" s="65" t="s">
        <v>152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610" t="s">
        <v>153</v>
      </c>
      <c r="C18" s="611"/>
      <c r="D18" s="2"/>
      <c r="E18" s="65" t="s">
        <v>154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612"/>
      <c r="C19" s="613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612"/>
      <c r="C20" s="613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328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/>
      <c r="C22" s="7"/>
      <c r="D22" s="2"/>
      <c r="E22" s="2"/>
      <c r="F22" s="12"/>
      <c r="G22" s="57"/>
      <c r="H22" s="61"/>
      <c r="I22" s="61"/>
      <c r="J22" s="62"/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">
        <v>671</v>
      </c>
      <c r="B24" s="3"/>
      <c r="C24" s="3"/>
      <c r="D24" s="3"/>
      <c r="E24" s="3"/>
      <c r="F24" s="72"/>
      <c r="G24" s="607">
        <f>G5-J11-J21</f>
        <v>3948383.5000000005</v>
      </c>
      <c r="H24" s="608"/>
      <c r="I24" s="608"/>
      <c r="J24" s="609"/>
      <c r="L24" s="90">
        <f>G24-งบทดลอง1!F9</f>
        <v>0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156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157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158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491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4:J4"/>
    <mergeCell ref="G5:J5"/>
    <mergeCell ref="B7:C7"/>
    <mergeCell ref="B8:C8"/>
    <mergeCell ref="B6:F6"/>
    <mergeCell ref="G9:J9"/>
    <mergeCell ref="B10:C10"/>
    <mergeCell ref="B12:C12"/>
    <mergeCell ref="A11:F11"/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6">
      <selection activeCell="G9" sqref="G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624" t="s">
        <v>520</v>
      </c>
      <c r="B1" s="625"/>
      <c r="C1" s="625"/>
      <c r="D1" s="625"/>
      <c r="E1" s="625"/>
      <c r="F1" s="625"/>
      <c r="G1" s="639" t="s">
        <v>134</v>
      </c>
      <c r="H1" s="639"/>
      <c r="I1" s="639"/>
      <c r="J1" s="640"/>
      <c r="K1" s="2"/>
      <c r="L1" s="2"/>
    </row>
    <row r="2" spans="1:10" s="1" customFormat="1" ht="23.25">
      <c r="A2" s="627" t="s">
        <v>135</v>
      </c>
      <c r="B2" s="628"/>
      <c r="C2" s="628"/>
      <c r="D2" s="628"/>
      <c r="E2" s="628"/>
      <c r="F2" s="628"/>
      <c r="G2" s="2"/>
      <c r="H2" s="2"/>
      <c r="I2" s="2"/>
      <c r="J2" s="44"/>
    </row>
    <row r="3" spans="1:10" s="1" customFormat="1" ht="23.25">
      <c r="A3" s="629"/>
      <c r="B3" s="630"/>
      <c r="C3" s="630"/>
      <c r="D3" s="630"/>
      <c r="E3" s="630"/>
      <c r="F3" s="630"/>
      <c r="G3" s="631" t="s">
        <v>136</v>
      </c>
      <c r="H3" s="631"/>
      <c r="I3" s="631"/>
      <c r="J3" s="632"/>
    </row>
    <row r="4" spans="1:10" s="1" customFormat="1" ht="23.25">
      <c r="A4" s="52"/>
      <c r="B4" s="53"/>
      <c r="C4" s="53"/>
      <c r="D4" s="53"/>
      <c r="E4" s="53"/>
      <c r="F4" s="53"/>
      <c r="G4" s="633" t="s">
        <v>54</v>
      </c>
      <c r="H4" s="634"/>
      <c r="I4" s="634"/>
      <c r="J4" s="635"/>
    </row>
    <row r="5" spans="1:10" s="1" customFormat="1" ht="23.25">
      <c r="A5" s="5" t="str">
        <f>'539-6-01276-5'!A5</f>
        <v>ยอดคงเหลือตามรายงานธนาคาร  ณ  วันที่  30  มิถุนายน  2556</v>
      </c>
      <c r="B5" s="2"/>
      <c r="C5" s="2"/>
      <c r="D5" s="2"/>
      <c r="E5" s="2"/>
      <c r="F5" s="44"/>
      <c r="G5" s="636">
        <v>24452346.94</v>
      </c>
      <c r="H5" s="637"/>
      <c r="I5" s="637"/>
      <c r="J5" s="638"/>
    </row>
    <row r="6" spans="1:10" s="1" customFormat="1" ht="23.25">
      <c r="A6" s="5" t="s">
        <v>137</v>
      </c>
      <c r="B6" s="281" t="s">
        <v>580</v>
      </c>
      <c r="C6" s="278"/>
      <c r="D6" s="278"/>
      <c r="E6" s="278"/>
      <c r="F6" s="279"/>
      <c r="G6" s="280"/>
      <c r="H6" s="2"/>
      <c r="I6" s="2"/>
      <c r="J6" s="92"/>
    </row>
    <row r="7" spans="1:10" s="1" customFormat="1" ht="23.25">
      <c r="A7" s="5"/>
      <c r="B7" s="614" t="s">
        <v>36</v>
      </c>
      <c r="C7" s="614"/>
      <c r="D7" s="55" t="s">
        <v>138</v>
      </c>
      <c r="E7" s="55" t="s">
        <v>52</v>
      </c>
      <c r="G7" s="57"/>
      <c r="H7" s="58"/>
      <c r="I7" s="58"/>
      <c r="J7" s="59"/>
    </row>
    <row r="8" spans="1:10" s="1" customFormat="1" ht="23.25">
      <c r="A8" s="9"/>
      <c r="B8" s="4"/>
      <c r="C8" s="55"/>
      <c r="D8" s="7"/>
      <c r="E8" s="271"/>
      <c r="G8" s="57"/>
      <c r="H8" s="58"/>
      <c r="I8" s="58"/>
      <c r="J8" s="282"/>
    </row>
    <row r="9" spans="1:10" s="1" customFormat="1" ht="23.25">
      <c r="A9" s="8"/>
      <c r="B9" s="615"/>
      <c r="C9" s="615"/>
      <c r="D9" s="2"/>
      <c r="E9" s="7"/>
      <c r="F9" s="60"/>
      <c r="G9" s="57"/>
      <c r="H9" s="61"/>
      <c r="I9" s="61"/>
      <c r="J9" s="62"/>
    </row>
    <row r="10" spans="1:10" s="1" customFormat="1" ht="23.25">
      <c r="A10" s="5" t="s">
        <v>139</v>
      </c>
      <c r="B10" s="2"/>
      <c r="C10" s="2"/>
      <c r="D10" s="2"/>
      <c r="E10" s="2"/>
      <c r="F10" s="44"/>
      <c r="G10" s="619"/>
      <c r="H10" s="620"/>
      <c r="I10" s="620"/>
      <c r="J10" s="621"/>
    </row>
    <row r="11" spans="1:10" s="1" customFormat="1" ht="23.25">
      <c r="A11" s="5"/>
      <c r="B11" s="641" t="s">
        <v>140</v>
      </c>
      <c r="C11" s="641"/>
      <c r="D11" s="63" t="s">
        <v>138</v>
      </c>
      <c r="E11" s="63" t="s">
        <v>52</v>
      </c>
      <c r="G11" s="9"/>
      <c r="H11" s="4"/>
      <c r="I11" s="4"/>
      <c r="J11" s="64">
        <f>รายละเอียด!C10</f>
        <v>1280723.2</v>
      </c>
    </row>
    <row r="12" spans="1:10" s="1" customFormat="1" ht="23.25">
      <c r="A12" s="8"/>
      <c r="B12" s="610" t="s">
        <v>141</v>
      </c>
      <c r="C12" s="611"/>
      <c r="D12" s="2"/>
      <c r="E12" s="65" t="s">
        <v>142</v>
      </c>
      <c r="F12" s="66">
        <v>4950</v>
      </c>
      <c r="G12" s="8"/>
      <c r="H12" s="10"/>
      <c r="I12" s="10"/>
      <c r="J12" s="11"/>
    </row>
    <row r="13" spans="1:10" s="1" customFormat="1" ht="23.25">
      <c r="A13" s="8"/>
      <c r="B13" s="610" t="s">
        <v>143</v>
      </c>
      <c r="C13" s="622"/>
      <c r="D13" s="2"/>
      <c r="E13" s="65" t="s">
        <v>144</v>
      </c>
      <c r="F13" s="66">
        <v>500</v>
      </c>
      <c r="G13" s="57"/>
      <c r="H13" s="61"/>
      <c r="I13" s="61"/>
      <c r="J13" s="67"/>
    </row>
    <row r="14" spans="1:10" s="1" customFormat="1" ht="23.25">
      <c r="A14" s="8"/>
      <c r="B14" s="610" t="s">
        <v>145</v>
      </c>
      <c r="C14" s="611"/>
      <c r="D14" s="2"/>
      <c r="E14" s="65" t="s">
        <v>146</v>
      </c>
      <c r="F14" s="66">
        <v>300</v>
      </c>
      <c r="G14" s="8"/>
      <c r="H14" s="10"/>
      <c r="I14" s="10"/>
      <c r="J14" s="11"/>
    </row>
    <row r="15" spans="1:10" s="1" customFormat="1" ht="23.25">
      <c r="A15" s="8"/>
      <c r="B15" s="610" t="s">
        <v>150</v>
      </c>
      <c r="C15" s="611"/>
      <c r="D15" s="2"/>
      <c r="E15" s="65" t="s">
        <v>152</v>
      </c>
      <c r="F15" s="66">
        <v>4950</v>
      </c>
      <c r="G15" s="57"/>
      <c r="H15" s="61"/>
      <c r="I15" s="61"/>
      <c r="J15" s="67"/>
    </row>
    <row r="16" spans="1:10" s="1" customFormat="1" ht="23.25">
      <c r="A16" s="8"/>
      <c r="B16" s="610" t="s">
        <v>153</v>
      </c>
      <c r="C16" s="611"/>
      <c r="D16" s="2"/>
      <c r="E16" s="65" t="s">
        <v>154</v>
      </c>
      <c r="F16" s="66">
        <v>2000</v>
      </c>
      <c r="G16" s="57"/>
      <c r="H16" s="61"/>
      <c r="I16" s="61"/>
      <c r="J16" s="67"/>
    </row>
    <row r="17" spans="1:10" s="1" customFormat="1" ht="23.25">
      <c r="A17" s="8"/>
      <c r="B17" s="612"/>
      <c r="C17" s="613"/>
      <c r="D17" s="2"/>
      <c r="E17" s="7"/>
      <c r="F17" s="12"/>
      <c r="G17" s="54"/>
      <c r="H17" s="69"/>
      <c r="I17" s="69"/>
      <c r="J17" s="62"/>
    </row>
    <row r="18" spans="1:10" s="1" customFormat="1" ht="23.25">
      <c r="A18" s="8"/>
      <c r="B18" s="612"/>
      <c r="C18" s="613"/>
      <c r="D18" s="2"/>
      <c r="E18" s="7"/>
      <c r="F18" s="12"/>
      <c r="G18" s="54"/>
      <c r="H18" s="69"/>
      <c r="I18" s="69"/>
      <c r="J18" s="62"/>
    </row>
    <row r="19" spans="1:10" s="1" customFormat="1" ht="23.25">
      <c r="A19" s="5" t="s">
        <v>490</v>
      </c>
      <c r="B19" s="2"/>
      <c r="C19" s="2"/>
      <c r="D19" s="2"/>
      <c r="E19" s="10"/>
      <c r="F19" s="44"/>
      <c r="G19" s="57"/>
      <c r="H19" s="61"/>
      <c r="I19" s="61"/>
      <c r="J19" s="62"/>
    </row>
    <row r="20" spans="1:10" s="1" customFormat="1" ht="23.25">
      <c r="A20" s="70"/>
      <c r="B20" s="71"/>
      <c r="C20" s="7"/>
      <c r="D20" s="2"/>
      <c r="E20" s="2"/>
      <c r="F20" s="12"/>
      <c r="G20" s="57"/>
      <c r="H20" s="61"/>
      <c r="I20" s="61"/>
      <c r="J20" s="62"/>
    </row>
    <row r="21" spans="1:10" s="1" customFormat="1" ht="23.25">
      <c r="A21" s="5"/>
      <c r="B21" s="7" t="s">
        <v>92</v>
      </c>
      <c r="C21" s="7"/>
      <c r="D21" s="2"/>
      <c r="E21" s="2"/>
      <c r="F21" s="12"/>
      <c r="G21" s="57"/>
      <c r="H21" s="61"/>
      <c r="I21" s="61"/>
      <c r="J21" s="67"/>
    </row>
    <row r="22" spans="1:12" s="1" customFormat="1" ht="23.25">
      <c r="A22" s="6" t="str">
        <f>'539-6-01276-5'!A24</f>
        <v>ยอดคงเหลือตามบัญชี ณ วันที่    30  มิถุนายน  2556</v>
      </c>
      <c r="B22" s="3"/>
      <c r="C22" s="3"/>
      <c r="D22" s="3"/>
      <c r="E22" s="3"/>
      <c r="F22" s="72"/>
      <c r="G22" s="607">
        <f>G5+J6-J11-J19</f>
        <v>23171623.740000002</v>
      </c>
      <c r="H22" s="608"/>
      <c r="I22" s="608"/>
      <c r="J22" s="609"/>
      <c r="K22" s="421">
        <f>G22-งบทดลอง1!$F$13</f>
        <v>0</v>
      </c>
      <c r="L22" s="90">
        <f>G22-งบทดลอง1!F13</f>
        <v>0</v>
      </c>
    </row>
    <row r="23" spans="1:12" s="1" customFormat="1" ht="23.25">
      <c r="A23" s="73"/>
      <c r="B23" s="74"/>
      <c r="C23" s="74"/>
      <c r="D23" s="74"/>
      <c r="E23" s="74"/>
      <c r="F23" s="75"/>
      <c r="G23" s="76"/>
      <c r="H23" s="77"/>
      <c r="I23" s="77"/>
      <c r="J23" s="78"/>
      <c r="K23" s="2"/>
      <c r="L23" s="2"/>
    </row>
    <row r="24" spans="1:12" s="1" customFormat="1" ht="23.25">
      <c r="A24" s="79" t="s">
        <v>156</v>
      </c>
      <c r="B24" s="80"/>
      <c r="C24" s="80"/>
      <c r="D24" s="80"/>
      <c r="E24" s="2"/>
      <c r="F24" s="80"/>
      <c r="G24" s="80"/>
      <c r="H24" s="80"/>
      <c r="I24" s="80"/>
      <c r="J24" s="81"/>
      <c r="K24" s="2"/>
      <c r="L24" s="2"/>
    </row>
    <row r="25" spans="1:12" s="1" customFormat="1" ht="23.25">
      <c r="A25" s="9" t="s">
        <v>157</v>
      </c>
      <c r="B25" s="4"/>
      <c r="C25" s="4"/>
      <c r="D25" s="4"/>
      <c r="E25" s="80"/>
      <c r="F25" s="4"/>
      <c r="G25" s="4"/>
      <c r="H25" s="4"/>
      <c r="I25" s="4"/>
      <c r="J25" s="46"/>
      <c r="K25" s="2"/>
      <c r="L25" s="2"/>
    </row>
    <row r="26" spans="1:12" s="1" customFormat="1" ht="23.25">
      <c r="A26" s="9" t="s">
        <v>158</v>
      </c>
      <c r="B26" s="4"/>
      <c r="C26" s="4"/>
      <c r="D26" s="4"/>
      <c r="E26" s="4"/>
      <c r="F26" s="4"/>
      <c r="G26" s="4"/>
      <c r="H26" s="4"/>
      <c r="I26" s="4"/>
      <c r="J26" s="46"/>
      <c r="K26" s="4"/>
      <c r="L26" s="4"/>
    </row>
    <row r="27" spans="1:12" s="1" customFormat="1" ht="23.25">
      <c r="A27" s="9" t="s">
        <v>491</v>
      </c>
      <c r="B27" s="4"/>
      <c r="C27" s="4"/>
      <c r="D27" s="4"/>
      <c r="E27" s="4"/>
      <c r="F27" s="4"/>
      <c r="G27" s="4"/>
      <c r="H27" s="4"/>
      <c r="I27" s="4"/>
      <c r="J27" s="46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2"/>
      <c r="K28" s="2"/>
      <c r="L28" s="2"/>
    </row>
    <row r="29" s="1" customFormat="1" ht="23.25"/>
  </sheetData>
  <sheetProtection/>
  <mergeCells count="18">
    <mergeCell ref="B14:C14"/>
    <mergeCell ref="B17:C17"/>
    <mergeCell ref="B18:C18"/>
    <mergeCell ref="G22:J22"/>
    <mergeCell ref="B15:C15"/>
    <mergeCell ref="B16:C16"/>
    <mergeCell ref="B12:C12"/>
    <mergeCell ref="B13:C13"/>
    <mergeCell ref="G4:J4"/>
    <mergeCell ref="G5:J5"/>
    <mergeCell ref="B7:C7"/>
    <mergeCell ref="B9:C9"/>
    <mergeCell ref="A1:F1"/>
    <mergeCell ref="G1:J1"/>
    <mergeCell ref="A2:F3"/>
    <mergeCell ref="G3:J3"/>
    <mergeCell ref="G10:J10"/>
    <mergeCell ref="B11:C11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09"/>
  <sheetViews>
    <sheetView zoomScaleSheetLayoutView="100" zoomScalePageLayoutView="0" workbookViewId="0" topLeftCell="A1">
      <selection activeCell="C13" sqref="C13"/>
    </sheetView>
  </sheetViews>
  <sheetFormatPr defaultColWidth="9.140625" defaultRowHeight="21.75"/>
  <cols>
    <col min="1" max="1" width="18.00390625" style="84" customWidth="1"/>
    <col min="2" max="2" width="46.28125" style="84" customWidth="1"/>
    <col min="3" max="3" width="23.421875" style="84" customWidth="1"/>
    <col min="4" max="4" width="12.00390625" style="84" customWidth="1"/>
    <col min="5" max="6" width="9.140625" style="84" customWidth="1"/>
    <col min="7" max="7" width="10.28125" style="84" bestFit="1" customWidth="1"/>
    <col min="8" max="16384" width="9.140625" style="84" customWidth="1"/>
  </cols>
  <sheetData>
    <row r="1" spans="1:7" ht="24">
      <c r="A1" s="642" t="s">
        <v>164</v>
      </c>
      <c r="B1" s="642"/>
      <c r="C1" s="642"/>
      <c r="D1" s="193"/>
      <c r="E1" s="193"/>
      <c r="F1" s="193"/>
      <c r="G1" s="193"/>
    </row>
    <row r="2" spans="1:7" ht="24">
      <c r="A2" s="7" t="s">
        <v>579</v>
      </c>
      <c r="B2" s="85" t="s">
        <v>578</v>
      </c>
      <c r="C2" s="507">
        <v>1204.25</v>
      </c>
      <c r="D2" s="193"/>
      <c r="E2" s="193"/>
      <c r="F2" s="193"/>
      <c r="G2" s="193"/>
    </row>
    <row r="3" spans="1:7" ht="24">
      <c r="A3" s="7" t="s">
        <v>672</v>
      </c>
      <c r="B3" s="85" t="s">
        <v>679</v>
      </c>
      <c r="C3" s="507">
        <v>3502.95</v>
      </c>
      <c r="D3" s="193"/>
      <c r="E3" s="193"/>
      <c r="F3" s="193"/>
      <c r="G3" s="193"/>
    </row>
    <row r="4" spans="1:7" ht="24">
      <c r="A4" s="7" t="s">
        <v>673</v>
      </c>
      <c r="B4" s="85" t="s">
        <v>680</v>
      </c>
      <c r="C4" s="507">
        <v>19094</v>
      </c>
      <c r="D4" s="193"/>
      <c r="E4" s="193"/>
      <c r="F4" s="193"/>
      <c r="G4" s="193"/>
    </row>
    <row r="5" spans="1:7" ht="24">
      <c r="A5" s="7" t="s">
        <v>674</v>
      </c>
      <c r="B5" s="85" t="s">
        <v>680</v>
      </c>
      <c r="C5" s="507">
        <v>485.1</v>
      </c>
      <c r="D5" s="193"/>
      <c r="E5" s="193"/>
      <c r="F5" s="193"/>
      <c r="G5" s="193"/>
    </row>
    <row r="6" spans="1:7" ht="24">
      <c r="A6" s="7" t="s">
        <v>675</v>
      </c>
      <c r="B6" s="85" t="s">
        <v>680</v>
      </c>
      <c r="C6" s="507">
        <v>5934.94</v>
      </c>
      <c r="D6" s="193"/>
      <c r="E6" s="193"/>
      <c r="F6" s="193"/>
      <c r="G6" s="193"/>
    </row>
    <row r="7" spans="1:7" ht="24">
      <c r="A7" s="7" t="s">
        <v>676</v>
      </c>
      <c r="B7" s="85" t="s">
        <v>680</v>
      </c>
      <c r="C7" s="507">
        <v>20015.98</v>
      </c>
      <c r="D7" s="193"/>
      <c r="E7" s="193"/>
      <c r="F7" s="193"/>
      <c r="G7" s="193"/>
    </row>
    <row r="8" spans="1:7" ht="24">
      <c r="A8" s="7" t="s">
        <v>677</v>
      </c>
      <c r="B8" s="85" t="s">
        <v>681</v>
      </c>
      <c r="C8" s="507">
        <v>10000</v>
      </c>
      <c r="D8" s="193"/>
      <c r="E8" s="193"/>
      <c r="F8" s="193"/>
      <c r="G8" s="193"/>
    </row>
    <row r="9" spans="1:7" ht="24">
      <c r="A9" s="7" t="s">
        <v>678</v>
      </c>
      <c r="B9" s="85" t="s">
        <v>681</v>
      </c>
      <c r="C9" s="507">
        <v>1220485.98</v>
      </c>
      <c r="D9" s="193"/>
      <c r="E9" s="193"/>
      <c r="F9" s="193"/>
      <c r="G9" s="193"/>
    </row>
    <row r="10" spans="1:3" ht="32.25" customHeight="1" thickBot="1">
      <c r="A10" s="7"/>
      <c r="B10" s="508" t="s">
        <v>165</v>
      </c>
      <c r="C10" s="86">
        <f>SUM(C2:C9)</f>
        <v>1280723.2</v>
      </c>
    </row>
    <row r="11" ht="24.75" thickTop="1">
      <c r="A11" s="7"/>
    </row>
    <row r="12" ht="24">
      <c r="A12" s="7"/>
    </row>
    <row r="13" ht="24">
      <c r="A13" s="7"/>
    </row>
    <row r="14" ht="24">
      <c r="A14" s="7"/>
    </row>
    <row r="15" ht="24">
      <c r="A15" s="7"/>
    </row>
    <row r="16" ht="24">
      <c r="A16" s="7"/>
    </row>
    <row r="17" ht="24">
      <c r="A17" s="7"/>
    </row>
    <row r="18" ht="24">
      <c r="A18" s="7"/>
    </row>
    <row r="19" ht="24">
      <c r="A19" s="7"/>
    </row>
    <row r="20" ht="24">
      <c r="A20" s="7"/>
    </row>
    <row r="21" ht="24">
      <c r="A21" s="7"/>
    </row>
    <row r="22" ht="24">
      <c r="A22" s="7"/>
    </row>
    <row r="23" ht="24">
      <c r="A23" s="7"/>
    </row>
    <row r="24" ht="24">
      <c r="A24" s="7"/>
    </row>
    <row r="25" ht="24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  <row r="304" ht="24">
      <c r="A304" s="7"/>
    </row>
    <row r="305" ht="24">
      <c r="A305" s="7"/>
    </row>
    <row r="306" ht="24">
      <c r="A306" s="7"/>
    </row>
    <row r="307" ht="24">
      <c r="A307" s="7"/>
    </row>
    <row r="308" ht="24">
      <c r="A308" s="7"/>
    </row>
    <row r="309" ht="24">
      <c r="A309" s="7"/>
    </row>
  </sheetData>
  <sheetProtection/>
  <mergeCells count="1">
    <mergeCell ref="A1:C1"/>
  </mergeCells>
  <printOptions/>
  <pageMargins left="1.07" right="0.44" top="1.07" bottom="0.49" header="0.24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18">
      <selection activeCell="L27" sqref="L27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624" t="s">
        <v>133</v>
      </c>
      <c r="B1" s="625"/>
      <c r="C1" s="625"/>
      <c r="D1" s="625"/>
      <c r="E1" s="625"/>
      <c r="F1" s="625"/>
      <c r="G1" s="639" t="s">
        <v>134</v>
      </c>
      <c r="H1" s="639"/>
      <c r="I1" s="639"/>
      <c r="J1" s="640"/>
      <c r="K1" s="2"/>
      <c r="L1" s="2"/>
    </row>
    <row r="2" spans="1:10" s="1" customFormat="1" ht="23.25">
      <c r="A2" s="627" t="s">
        <v>135</v>
      </c>
      <c r="B2" s="628"/>
      <c r="C2" s="628"/>
      <c r="D2" s="628"/>
      <c r="E2" s="628"/>
      <c r="F2" s="628"/>
      <c r="G2" s="2"/>
      <c r="H2" s="2"/>
      <c r="I2" s="2"/>
      <c r="J2" s="44"/>
    </row>
    <row r="3" spans="1:10" s="1" customFormat="1" ht="23.25">
      <c r="A3" s="629"/>
      <c r="B3" s="630"/>
      <c r="C3" s="630"/>
      <c r="D3" s="630"/>
      <c r="E3" s="630"/>
      <c r="F3" s="630"/>
      <c r="G3" s="631" t="s">
        <v>308</v>
      </c>
      <c r="H3" s="631"/>
      <c r="I3" s="631"/>
      <c r="J3" s="632"/>
    </row>
    <row r="4" spans="1:10" s="1" customFormat="1" ht="23.25">
      <c r="A4" s="52"/>
      <c r="B4" s="53"/>
      <c r="C4" s="53"/>
      <c r="D4" s="53"/>
      <c r="E4" s="53"/>
      <c r="F4" s="53"/>
      <c r="G4" s="633" t="s">
        <v>54</v>
      </c>
      <c r="H4" s="634"/>
      <c r="I4" s="634"/>
      <c r="J4" s="635"/>
    </row>
    <row r="5" spans="1:10" s="1" customFormat="1" ht="23.25">
      <c r="A5" s="5" t="str">
        <f>'001-2-50657-8'!A5</f>
        <v>ยอดคงเหลือตามรายงานธนาคาร  ณ  วันที่  30  มิถุนายน  2556</v>
      </c>
      <c r="B5" s="2"/>
      <c r="C5" s="2"/>
      <c r="D5" s="2"/>
      <c r="E5" s="2"/>
      <c r="F5" s="44"/>
      <c r="G5" s="636">
        <v>3082631.35</v>
      </c>
      <c r="H5" s="637"/>
      <c r="I5" s="637"/>
      <c r="J5" s="638"/>
    </row>
    <row r="6" spans="1:10" s="1" customFormat="1" ht="23.25">
      <c r="A6" s="5" t="s">
        <v>137</v>
      </c>
      <c r="B6" s="616" t="s">
        <v>276</v>
      </c>
      <c r="C6" s="617"/>
      <c r="D6" s="617"/>
      <c r="E6" s="617"/>
      <c r="F6" s="618"/>
      <c r="G6" s="5"/>
      <c r="H6" s="2"/>
      <c r="I6" s="2"/>
      <c r="J6" s="92"/>
    </row>
    <row r="7" spans="1:10" s="1" customFormat="1" ht="23.25">
      <c r="A7" s="5"/>
      <c r="B7" s="614" t="s">
        <v>36</v>
      </c>
      <c r="C7" s="614"/>
      <c r="D7" s="55" t="s">
        <v>138</v>
      </c>
      <c r="E7" s="55" t="s">
        <v>52</v>
      </c>
      <c r="G7" s="57"/>
      <c r="H7" s="58"/>
      <c r="I7" s="58"/>
      <c r="J7" s="59"/>
    </row>
    <row r="8" spans="1:10" s="1" customFormat="1" ht="23.25">
      <c r="A8" s="9"/>
      <c r="B8" s="4"/>
      <c r="C8" s="55"/>
      <c r="D8" s="7"/>
      <c r="E8" s="271"/>
      <c r="G8" s="57"/>
      <c r="H8" s="58"/>
      <c r="I8" s="58"/>
      <c r="J8" s="59"/>
    </row>
    <row r="9" spans="1:10" s="1" customFormat="1" ht="23.25">
      <c r="A9" s="5"/>
      <c r="B9" s="4"/>
      <c r="C9" s="55"/>
      <c r="D9" s="7"/>
      <c r="E9" s="271"/>
      <c r="G9" s="57"/>
      <c r="H9" s="58"/>
      <c r="I9" s="58"/>
      <c r="J9" s="272"/>
    </row>
    <row r="10" spans="1:10" s="1" customFormat="1" ht="23.25">
      <c r="A10" s="5"/>
      <c r="B10" s="55"/>
      <c r="C10" s="55"/>
      <c r="D10" s="55"/>
      <c r="E10" s="55"/>
      <c r="G10" s="57"/>
      <c r="H10" s="58"/>
      <c r="I10" s="58"/>
      <c r="J10" s="59"/>
    </row>
    <row r="11" spans="1:10" s="1" customFormat="1" ht="23.25">
      <c r="A11" s="8"/>
      <c r="B11" s="615"/>
      <c r="C11" s="615"/>
      <c r="D11" s="2"/>
      <c r="E11" s="7" t="s">
        <v>92</v>
      </c>
      <c r="F11" s="60" t="s">
        <v>92</v>
      </c>
      <c r="G11" s="57"/>
      <c r="H11" s="61"/>
      <c r="I11" s="61"/>
      <c r="J11" s="62"/>
    </row>
    <row r="12" spans="1:10" s="1" customFormat="1" ht="23.25">
      <c r="A12" s="5" t="s">
        <v>139</v>
      </c>
      <c r="B12" s="2"/>
      <c r="C12" s="2"/>
      <c r="D12" s="2"/>
      <c r="E12" s="2"/>
      <c r="F12" s="44"/>
      <c r="G12" s="619"/>
      <c r="H12" s="620"/>
      <c r="I12" s="620"/>
      <c r="J12" s="621"/>
    </row>
    <row r="13" spans="1:10" s="1" customFormat="1" ht="23.25">
      <c r="A13" s="623" t="s">
        <v>279</v>
      </c>
      <c r="B13" s="617"/>
      <c r="C13" s="617"/>
      <c r="D13" s="617"/>
      <c r="E13" s="617"/>
      <c r="F13" s="618"/>
      <c r="G13" s="9"/>
      <c r="H13" s="4"/>
      <c r="I13" s="4"/>
      <c r="J13" s="64"/>
    </row>
    <row r="14" spans="1:10" s="1" customFormat="1" ht="23.25">
      <c r="A14" s="8"/>
      <c r="B14" s="610" t="s">
        <v>141</v>
      </c>
      <c r="C14" s="611"/>
      <c r="D14" s="2"/>
      <c r="E14" s="65" t="s">
        <v>142</v>
      </c>
      <c r="F14" s="66">
        <v>4950</v>
      </c>
      <c r="G14" s="8"/>
      <c r="H14" s="10"/>
      <c r="I14" s="10"/>
      <c r="J14" s="11"/>
    </row>
    <row r="15" spans="1:10" s="1" customFormat="1" ht="23.25">
      <c r="A15" s="8"/>
      <c r="B15" s="610" t="s">
        <v>143</v>
      </c>
      <c r="C15" s="622"/>
      <c r="D15" s="2"/>
      <c r="E15" s="65" t="s">
        <v>144</v>
      </c>
      <c r="F15" s="66">
        <v>500</v>
      </c>
      <c r="G15" s="57"/>
      <c r="H15" s="61"/>
      <c r="I15" s="61"/>
      <c r="J15" s="67"/>
    </row>
    <row r="16" spans="1:10" s="1" customFormat="1" ht="23.25">
      <c r="A16" s="8"/>
      <c r="B16" s="610" t="s">
        <v>145</v>
      </c>
      <c r="C16" s="611"/>
      <c r="D16" s="2"/>
      <c r="E16" s="65" t="s">
        <v>146</v>
      </c>
      <c r="F16" s="66">
        <v>300</v>
      </c>
      <c r="G16" s="8"/>
      <c r="H16" s="10"/>
      <c r="I16" s="10"/>
      <c r="J16" s="11"/>
    </row>
    <row r="17" spans="1:10" s="1" customFormat="1" ht="23.25">
      <c r="A17" s="8"/>
      <c r="B17" s="610" t="s">
        <v>150</v>
      </c>
      <c r="C17" s="611"/>
      <c r="D17" s="2"/>
      <c r="E17" s="65" t="s">
        <v>152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610" t="s">
        <v>153</v>
      </c>
      <c r="C18" s="611"/>
      <c r="D18" s="2"/>
      <c r="E18" s="65" t="s">
        <v>154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612"/>
      <c r="C19" s="613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612"/>
      <c r="C20" s="613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155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 t="s">
        <v>309</v>
      </c>
      <c r="C22" s="7"/>
      <c r="D22" s="2"/>
      <c r="E22" s="2"/>
      <c r="F22" s="12"/>
      <c r="G22" s="57"/>
      <c r="H22" s="61"/>
      <c r="I22" s="61"/>
      <c r="J22" s="62">
        <v>4430.39</v>
      </c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tr">
        <f>'001-2-50657-8'!A22</f>
        <v>ยอดคงเหลือตามบัญชี ณ วันที่    30  มิถุนายน  2556</v>
      </c>
      <c r="B24" s="3"/>
      <c r="C24" s="3"/>
      <c r="D24" s="3"/>
      <c r="E24" s="3"/>
      <c r="F24" s="72"/>
      <c r="G24" s="607">
        <f>G5-J22</f>
        <v>3078200.96</v>
      </c>
      <c r="H24" s="608"/>
      <c r="I24" s="608"/>
      <c r="J24" s="609"/>
      <c r="L24" s="90">
        <f>งบทดลอง1!F15-G24</f>
        <v>0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156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157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158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491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15:C15"/>
    <mergeCell ref="A13:F13"/>
    <mergeCell ref="G4:J4"/>
    <mergeCell ref="G5:J5"/>
    <mergeCell ref="B7:C7"/>
    <mergeCell ref="B11:C11"/>
    <mergeCell ref="B6:F6"/>
    <mergeCell ref="A1:F1"/>
    <mergeCell ref="G1:J1"/>
    <mergeCell ref="A2:F3"/>
    <mergeCell ref="G3:J3"/>
    <mergeCell ref="G12:J12"/>
    <mergeCell ref="B14:C14"/>
  </mergeCells>
  <printOptions/>
  <pageMargins left="0.75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20">
      <selection activeCell="A28" sqref="A28:A2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20.8515625" style="0" customWidth="1"/>
  </cols>
  <sheetData>
    <row r="1" spans="1:12" s="1" customFormat="1" ht="23.25">
      <c r="A1" s="624" t="s">
        <v>133</v>
      </c>
      <c r="B1" s="625"/>
      <c r="C1" s="625"/>
      <c r="D1" s="625"/>
      <c r="E1" s="625"/>
      <c r="F1" s="625"/>
      <c r="G1" s="639" t="s">
        <v>134</v>
      </c>
      <c r="H1" s="639"/>
      <c r="I1" s="639"/>
      <c r="J1" s="640"/>
      <c r="K1" s="2"/>
      <c r="L1" s="2"/>
    </row>
    <row r="2" spans="1:10" s="1" customFormat="1" ht="23.25">
      <c r="A2" s="627" t="s">
        <v>135</v>
      </c>
      <c r="B2" s="628"/>
      <c r="C2" s="628"/>
      <c r="D2" s="628"/>
      <c r="E2" s="628"/>
      <c r="F2" s="628"/>
      <c r="G2" s="2"/>
      <c r="H2" s="2"/>
      <c r="I2" s="2"/>
      <c r="J2" s="44"/>
    </row>
    <row r="3" spans="1:10" s="1" customFormat="1" ht="23.25">
      <c r="A3" s="629"/>
      <c r="B3" s="630"/>
      <c r="C3" s="630"/>
      <c r="D3" s="630"/>
      <c r="E3" s="630"/>
      <c r="F3" s="630"/>
      <c r="G3" s="631" t="s">
        <v>278</v>
      </c>
      <c r="H3" s="631"/>
      <c r="I3" s="631"/>
      <c r="J3" s="632"/>
    </row>
    <row r="4" spans="1:10" s="1" customFormat="1" ht="23.25">
      <c r="A4" s="52"/>
      <c r="B4" s="53"/>
      <c r="C4" s="53"/>
      <c r="D4" s="53"/>
      <c r="E4" s="53"/>
      <c r="F4" s="53"/>
      <c r="G4" s="633" t="s">
        <v>54</v>
      </c>
      <c r="H4" s="634"/>
      <c r="I4" s="634"/>
      <c r="J4" s="635"/>
    </row>
    <row r="5" spans="1:10" s="1" customFormat="1" ht="23.25">
      <c r="A5" s="5" t="str">
        <f>'001-2-50657-8'!A5</f>
        <v>ยอดคงเหลือตามรายงานธนาคาร  ณ  วันที่  30  มิถุนายน  2556</v>
      </c>
      <c r="B5" s="2"/>
      <c r="C5" s="2"/>
      <c r="D5" s="2"/>
      <c r="E5" s="2"/>
      <c r="F5" s="44"/>
      <c r="G5" s="636">
        <v>139468.77</v>
      </c>
      <c r="H5" s="637"/>
      <c r="I5" s="637"/>
      <c r="J5" s="638"/>
    </row>
    <row r="6" spans="1:10" s="1" customFormat="1" ht="23.25">
      <c r="A6" s="5" t="s">
        <v>137</v>
      </c>
      <c r="B6" s="616" t="s">
        <v>276</v>
      </c>
      <c r="C6" s="617"/>
      <c r="D6" s="617"/>
      <c r="E6" s="617"/>
      <c r="F6" s="618"/>
      <c r="G6" s="5"/>
      <c r="H6" s="2"/>
      <c r="I6" s="2"/>
      <c r="J6" s="92"/>
    </row>
    <row r="7" spans="1:10" s="1" customFormat="1" ht="23.25">
      <c r="A7" s="5"/>
      <c r="B7" s="614" t="s">
        <v>36</v>
      </c>
      <c r="C7" s="614"/>
      <c r="D7" s="55" t="s">
        <v>138</v>
      </c>
      <c r="E7" s="55" t="s">
        <v>52</v>
      </c>
      <c r="G7" s="57"/>
      <c r="H7" s="58"/>
      <c r="I7" s="58"/>
      <c r="J7" s="59"/>
    </row>
    <row r="8" spans="1:10" s="1" customFormat="1" ht="23.25">
      <c r="A8" s="9"/>
      <c r="B8" s="4"/>
      <c r="C8" s="55"/>
      <c r="D8" s="7"/>
      <c r="E8" s="271"/>
      <c r="G8" s="57"/>
      <c r="H8" s="58"/>
      <c r="I8" s="58"/>
      <c r="J8" s="59"/>
    </row>
    <row r="9" spans="1:10" s="1" customFormat="1" ht="23.25">
      <c r="A9" s="5"/>
      <c r="B9" s="4"/>
      <c r="C9" s="55"/>
      <c r="D9" s="7"/>
      <c r="E9" s="271"/>
      <c r="G9" s="57"/>
      <c r="H9" s="58"/>
      <c r="I9" s="58"/>
      <c r="J9" s="272"/>
    </row>
    <row r="10" spans="1:10" s="1" customFormat="1" ht="23.25">
      <c r="A10" s="5"/>
      <c r="B10" s="55"/>
      <c r="C10" s="55"/>
      <c r="D10" s="55"/>
      <c r="E10" s="55"/>
      <c r="G10" s="57"/>
      <c r="H10" s="58"/>
      <c r="I10" s="58"/>
      <c r="J10" s="59"/>
    </row>
    <row r="11" spans="1:12" s="1" customFormat="1" ht="23.25">
      <c r="A11" s="8"/>
      <c r="B11" s="615"/>
      <c r="C11" s="615"/>
      <c r="D11" s="2"/>
      <c r="E11" s="7" t="s">
        <v>92</v>
      </c>
      <c r="F11" s="60" t="s">
        <v>92</v>
      </c>
      <c r="G11" s="57"/>
      <c r="H11" s="61"/>
      <c r="I11" s="61"/>
      <c r="J11" s="62"/>
      <c r="L11" s="1">
        <f>696830.47-20000</f>
        <v>676830.47</v>
      </c>
    </row>
    <row r="12" spans="1:10" s="1" customFormat="1" ht="23.25">
      <c r="A12" s="5" t="s">
        <v>139</v>
      </c>
      <c r="B12" s="2"/>
      <c r="C12" s="2"/>
      <c r="D12" s="2"/>
      <c r="E12" s="2"/>
      <c r="F12" s="44"/>
      <c r="G12" s="619"/>
      <c r="H12" s="620"/>
      <c r="I12" s="620"/>
      <c r="J12" s="621"/>
    </row>
    <row r="13" spans="1:10" s="1" customFormat="1" ht="23.25">
      <c r="A13" s="623" t="s">
        <v>279</v>
      </c>
      <c r="B13" s="617"/>
      <c r="C13" s="617"/>
      <c r="D13" s="617"/>
      <c r="E13" s="617"/>
      <c r="F13" s="618"/>
      <c r="G13" s="9"/>
      <c r="H13" s="4"/>
      <c r="I13" s="4"/>
      <c r="J13" s="64"/>
    </row>
    <row r="14" spans="1:10" s="1" customFormat="1" ht="23.25">
      <c r="A14" s="8"/>
      <c r="B14" s="610" t="s">
        <v>141</v>
      </c>
      <c r="C14" s="611"/>
      <c r="D14" s="2"/>
      <c r="E14" s="65" t="s">
        <v>142</v>
      </c>
      <c r="F14" s="66">
        <v>4950</v>
      </c>
      <c r="G14" s="8"/>
      <c r="H14" s="10"/>
      <c r="I14" s="10"/>
      <c r="J14" s="11"/>
    </row>
    <row r="15" spans="1:10" s="1" customFormat="1" ht="23.25">
      <c r="A15" s="8"/>
      <c r="B15" s="610" t="s">
        <v>143</v>
      </c>
      <c r="C15" s="622"/>
      <c r="D15" s="2"/>
      <c r="E15" s="65" t="s">
        <v>144</v>
      </c>
      <c r="F15" s="66">
        <v>500</v>
      </c>
      <c r="G15" s="57"/>
      <c r="H15" s="61"/>
      <c r="I15" s="61"/>
      <c r="J15" s="67"/>
    </row>
    <row r="16" spans="1:10" s="1" customFormat="1" ht="23.25">
      <c r="A16" s="8"/>
      <c r="B16" s="610" t="s">
        <v>145</v>
      </c>
      <c r="C16" s="611"/>
      <c r="D16" s="2"/>
      <c r="E16" s="65" t="s">
        <v>146</v>
      </c>
      <c r="F16" s="66">
        <v>300</v>
      </c>
      <c r="G16" s="8"/>
      <c r="H16" s="10"/>
      <c r="I16" s="10"/>
      <c r="J16" s="11"/>
    </row>
    <row r="17" spans="1:10" s="1" customFormat="1" ht="23.25">
      <c r="A17" s="8"/>
      <c r="B17" s="610" t="s">
        <v>150</v>
      </c>
      <c r="C17" s="611"/>
      <c r="D17" s="2"/>
      <c r="E17" s="65" t="s">
        <v>152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610" t="s">
        <v>153</v>
      </c>
      <c r="C18" s="611"/>
      <c r="D18" s="2"/>
      <c r="E18" s="65" t="s">
        <v>154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612"/>
      <c r="C19" s="613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612"/>
      <c r="C20" s="613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155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 t="s">
        <v>309</v>
      </c>
      <c r="C22" s="7"/>
      <c r="D22" s="2"/>
      <c r="E22" s="2"/>
      <c r="F22" s="12"/>
      <c r="G22" s="57"/>
      <c r="H22" s="61"/>
      <c r="I22" s="61"/>
      <c r="J22" s="62">
        <v>410.02</v>
      </c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tr">
        <f>'001-2-50657-8'!A22</f>
        <v>ยอดคงเหลือตามบัญชี ณ วันที่    30  มิถุนายน  2556</v>
      </c>
      <c r="B24" s="3"/>
      <c r="C24" s="3"/>
      <c r="D24" s="3"/>
      <c r="E24" s="3"/>
      <c r="F24" s="72"/>
      <c r="G24" s="607">
        <f>G5+J6-J22</f>
        <v>139058.75</v>
      </c>
      <c r="H24" s="608"/>
      <c r="I24" s="608"/>
      <c r="J24" s="609"/>
      <c r="L24" s="90">
        <f>G24-งบทดลอง1!F14</f>
        <v>-190013.02000000002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156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157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158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491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4:J4"/>
    <mergeCell ref="G5:J5"/>
    <mergeCell ref="B7:C7"/>
    <mergeCell ref="B11:C11"/>
    <mergeCell ref="B6:F6"/>
    <mergeCell ref="G12:J12"/>
    <mergeCell ref="B14:C14"/>
    <mergeCell ref="B15:C15"/>
    <mergeCell ref="A13:F13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624" t="s">
        <v>133</v>
      </c>
      <c r="B1" s="625"/>
      <c r="C1" s="625"/>
      <c r="D1" s="625"/>
      <c r="E1" s="625"/>
      <c r="F1" s="625"/>
      <c r="G1" s="639" t="s">
        <v>273</v>
      </c>
      <c r="H1" s="639"/>
      <c r="I1" s="639"/>
      <c r="J1" s="640"/>
      <c r="K1" s="2"/>
      <c r="L1" s="2"/>
    </row>
    <row r="2" spans="1:10" s="1" customFormat="1" ht="23.25">
      <c r="A2" s="627" t="s">
        <v>135</v>
      </c>
      <c r="B2" s="628"/>
      <c r="C2" s="628"/>
      <c r="D2" s="628"/>
      <c r="E2" s="628"/>
      <c r="F2" s="628"/>
      <c r="G2" s="2"/>
      <c r="H2" s="2"/>
      <c r="I2" s="2"/>
      <c r="J2" s="44"/>
    </row>
    <row r="3" spans="1:10" s="1" customFormat="1" ht="23.25">
      <c r="A3" s="629"/>
      <c r="B3" s="630"/>
      <c r="C3" s="630"/>
      <c r="D3" s="630"/>
      <c r="E3" s="630"/>
      <c r="F3" s="630"/>
      <c r="G3" s="631" t="s">
        <v>272</v>
      </c>
      <c r="H3" s="631"/>
      <c r="I3" s="631"/>
      <c r="J3" s="632"/>
    </row>
    <row r="4" spans="1:10" s="1" customFormat="1" ht="23.25">
      <c r="A4" s="52"/>
      <c r="B4" s="53"/>
      <c r="C4" s="53"/>
      <c r="D4" s="53"/>
      <c r="E4" s="53"/>
      <c r="F4" s="53"/>
      <c r="G4" s="633" t="s">
        <v>54</v>
      </c>
      <c r="H4" s="634"/>
      <c r="I4" s="634"/>
      <c r="J4" s="635"/>
    </row>
    <row r="5" spans="1:10" s="1" customFormat="1" ht="23.25">
      <c r="A5" s="5" t="str">
        <f>'539-6-01276-5'!A5</f>
        <v>ยอดคงเหลือตามรายงานธนาคาร  ณ  วันที่  30  มิถุนายน  2556</v>
      </c>
      <c r="B5" s="2"/>
      <c r="C5" s="2"/>
      <c r="D5" s="2"/>
      <c r="E5" s="2"/>
      <c r="F5" s="44"/>
      <c r="G5" s="636">
        <v>1062.03</v>
      </c>
      <c r="H5" s="637"/>
      <c r="I5" s="637"/>
      <c r="J5" s="638"/>
    </row>
    <row r="6" spans="1:10" s="1" customFormat="1" ht="23.25">
      <c r="A6" s="5" t="s">
        <v>137</v>
      </c>
      <c r="B6" s="616"/>
      <c r="C6" s="617"/>
      <c r="D6" s="617"/>
      <c r="E6" s="617"/>
      <c r="F6" s="618"/>
      <c r="G6" s="5"/>
      <c r="H6" s="2"/>
      <c r="I6" s="2"/>
      <c r="J6" s="92"/>
    </row>
    <row r="7" spans="1:10" s="1" customFormat="1" ht="23.25">
      <c r="A7" s="5"/>
      <c r="B7" s="614" t="s">
        <v>36</v>
      </c>
      <c r="C7" s="614"/>
      <c r="D7" s="55" t="s">
        <v>138</v>
      </c>
      <c r="E7" s="56" t="s">
        <v>52</v>
      </c>
      <c r="G7" s="57"/>
      <c r="H7" s="58"/>
      <c r="I7" s="58"/>
      <c r="J7" s="59"/>
    </row>
    <row r="8" spans="1:10" s="1" customFormat="1" ht="23.25">
      <c r="A8" s="8"/>
      <c r="B8" s="615"/>
      <c r="C8" s="615"/>
      <c r="D8" s="2"/>
      <c r="E8" s="7" t="s">
        <v>92</v>
      </c>
      <c r="F8" s="60" t="s">
        <v>92</v>
      </c>
      <c r="G8" s="57"/>
      <c r="H8" s="61"/>
      <c r="I8" s="61"/>
      <c r="J8" s="62"/>
    </row>
    <row r="9" spans="1:10" s="1" customFormat="1" ht="23.25">
      <c r="A9" s="5" t="s">
        <v>139</v>
      </c>
      <c r="B9" s="2"/>
      <c r="C9" s="2"/>
      <c r="D9" s="2"/>
      <c r="E9" s="2"/>
      <c r="F9" s="44"/>
      <c r="G9" s="619"/>
      <c r="H9" s="620"/>
      <c r="I9" s="620"/>
      <c r="J9" s="621"/>
    </row>
    <row r="10" spans="1:10" s="1" customFormat="1" ht="23.25">
      <c r="A10" s="5"/>
      <c r="B10" s="614" t="s">
        <v>162</v>
      </c>
      <c r="C10" s="614"/>
      <c r="D10" s="2"/>
      <c r="E10" s="55" t="s">
        <v>138</v>
      </c>
      <c r="F10" s="56" t="s">
        <v>52</v>
      </c>
      <c r="G10" s="9"/>
      <c r="H10" s="4"/>
      <c r="I10" s="4"/>
      <c r="J10" s="64"/>
    </row>
    <row r="11" spans="1:10" s="1" customFormat="1" ht="23.25">
      <c r="A11" s="623" t="s">
        <v>163</v>
      </c>
      <c r="B11" s="617"/>
      <c r="C11" s="617"/>
      <c r="D11" s="617"/>
      <c r="E11" s="617"/>
      <c r="F11" s="618"/>
      <c r="G11" s="8"/>
      <c r="H11" s="10"/>
      <c r="I11" s="10"/>
      <c r="J11" s="269">
        <v>110.77</v>
      </c>
    </row>
    <row r="12" spans="1:10" s="1" customFormat="1" ht="23.25">
      <c r="A12" s="8"/>
      <c r="B12" s="610" t="s">
        <v>143</v>
      </c>
      <c r="C12" s="622"/>
      <c r="D12" s="2"/>
      <c r="E12" s="65" t="s">
        <v>144</v>
      </c>
      <c r="F12" s="66">
        <v>500</v>
      </c>
      <c r="G12" s="57"/>
      <c r="H12" s="61"/>
      <c r="I12" s="61"/>
      <c r="J12" s="67"/>
    </row>
    <row r="13" spans="1:10" s="1" customFormat="1" ht="23.25">
      <c r="A13" s="8"/>
      <c r="B13" s="610" t="s">
        <v>145</v>
      </c>
      <c r="C13" s="611"/>
      <c r="D13" s="2"/>
      <c r="E13" s="65" t="s">
        <v>146</v>
      </c>
      <c r="F13" s="66">
        <v>300</v>
      </c>
      <c r="G13" s="8"/>
      <c r="H13" s="10"/>
      <c r="I13" s="10"/>
      <c r="J13" s="11"/>
    </row>
    <row r="14" spans="1:10" s="1" customFormat="1" ht="23.25">
      <c r="A14" s="8"/>
      <c r="B14" s="610" t="s">
        <v>147</v>
      </c>
      <c r="C14" s="611"/>
      <c r="D14" s="2"/>
      <c r="E14" s="65" t="s">
        <v>148</v>
      </c>
      <c r="F14" s="66">
        <v>391.82</v>
      </c>
      <c r="G14" s="8"/>
      <c r="H14" s="10"/>
      <c r="I14" s="10"/>
      <c r="J14" s="62"/>
    </row>
    <row r="15" spans="1:10" s="1" customFormat="1" ht="23.25">
      <c r="A15" s="5"/>
      <c r="B15" s="610" t="s">
        <v>147</v>
      </c>
      <c r="C15" s="611"/>
      <c r="E15" s="65" t="s">
        <v>149</v>
      </c>
      <c r="F15" s="68">
        <v>2282.19</v>
      </c>
      <c r="J15" s="44"/>
    </row>
    <row r="16" spans="1:10" s="1" customFormat="1" ht="23.25">
      <c r="A16" s="5"/>
      <c r="B16" s="610" t="s">
        <v>150</v>
      </c>
      <c r="C16" s="611"/>
      <c r="E16" s="65" t="s">
        <v>151</v>
      </c>
      <c r="F16" s="68">
        <v>1060</v>
      </c>
      <c r="J16" s="44"/>
    </row>
    <row r="17" spans="1:10" s="1" customFormat="1" ht="23.25">
      <c r="A17" s="8"/>
      <c r="B17" s="610" t="s">
        <v>150</v>
      </c>
      <c r="C17" s="611"/>
      <c r="D17" s="2"/>
      <c r="E17" s="65" t="s">
        <v>152</v>
      </c>
      <c r="F17" s="66">
        <v>4950</v>
      </c>
      <c r="G17" s="57"/>
      <c r="H17" s="61"/>
      <c r="I17" s="61"/>
      <c r="J17" s="67"/>
    </row>
    <row r="18" spans="1:10" s="1" customFormat="1" ht="23.25">
      <c r="A18" s="8"/>
      <c r="B18" s="610" t="s">
        <v>153</v>
      </c>
      <c r="C18" s="611"/>
      <c r="D18" s="2"/>
      <c r="E18" s="65" t="s">
        <v>154</v>
      </c>
      <c r="F18" s="66">
        <v>2000</v>
      </c>
      <c r="G18" s="57"/>
      <c r="H18" s="61"/>
      <c r="I18" s="61"/>
      <c r="J18" s="67"/>
    </row>
    <row r="19" spans="1:10" s="1" customFormat="1" ht="23.25">
      <c r="A19" s="8"/>
      <c r="B19" s="612"/>
      <c r="C19" s="613"/>
      <c r="D19" s="2"/>
      <c r="E19" s="7"/>
      <c r="F19" s="12"/>
      <c r="G19" s="54"/>
      <c r="H19" s="69"/>
      <c r="I19" s="69"/>
      <c r="J19" s="62"/>
    </row>
    <row r="20" spans="1:10" s="1" customFormat="1" ht="23.25">
      <c r="A20" s="8"/>
      <c r="B20" s="612"/>
      <c r="C20" s="613"/>
      <c r="D20" s="2"/>
      <c r="E20" s="7"/>
      <c r="F20" s="12"/>
      <c r="G20" s="54"/>
      <c r="H20" s="69"/>
      <c r="I20" s="69"/>
      <c r="J20" s="62"/>
    </row>
    <row r="21" spans="1:10" s="1" customFormat="1" ht="23.25">
      <c r="A21" s="5" t="s">
        <v>155</v>
      </c>
      <c r="B21" s="2"/>
      <c r="C21" s="2"/>
      <c r="D21" s="2"/>
      <c r="E21" s="10"/>
      <c r="F21" s="44"/>
      <c r="G21" s="57"/>
      <c r="H21" s="61"/>
      <c r="I21" s="61"/>
      <c r="J21" s="62"/>
    </row>
    <row r="22" spans="1:10" s="1" customFormat="1" ht="23.25">
      <c r="A22" s="70"/>
      <c r="B22" s="71"/>
      <c r="C22" s="7"/>
      <c r="D22" s="2"/>
      <c r="E22" s="2"/>
      <c r="F22" s="12"/>
      <c r="G22" s="57"/>
      <c r="H22" s="61"/>
      <c r="I22" s="61"/>
      <c r="J22" s="62"/>
    </row>
    <row r="23" spans="1:10" s="1" customFormat="1" ht="23.25">
      <c r="A23" s="5"/>
      <c r="B23" s="7" t="s">
        <v>92</v>
      </c>
      <c r="C23" s="7"/>
      <c r="D23" s="2"/>
      <c r="E23" s="2"/>
      <c r="F23" s="12"/>
      <c r="G23" s="57"/>
      <c r="H23" s="61"/>
      <c r="I23" s="61"/>
      <c r="J23" s="67"/>
    </row>
    <row r="24" spans="1:12" s="1" customFormat="1" ht="23.25">
      <c r="A24" s="6" t="str">
        <f>'539-6-01276-5'!A24</f>
        <v>ยอดคงเหลือตามบัญชี ณ วันที่    30  มิถุนายน  2556</v>
      </c>
      <c r="B24" s="3"/>
      <c r="C24" s="3"/>
      <c r="D24" s="3"/>
      <c r="E24" s="3"/>
      <c r="F24" s="72"/>
      <c r="G24" s="607">
        <f>G5-J11</f>
        <v>951.26</v>
      </c>
      <c r="H24" s="608"/>
      <c r="I24" s="608"/>
      <c r="J24" s="609"/>
      <c r="L24" s="90">
        <f>G24-งบทดลอง1!F12</f>
        <v>-1487.9399999999998</v>
      </c>
    </row>
    <row r="25" spans="1:12" s="1" customFormat="1" ht="23.25">
      <c r="A25" s="73"/>
      <c r="B25" s="74"/>
      <c r="C25" s="74"/>
      <c r="D25" s="74"/>
      <c r="E25" s="74"/>
      <c r="F25" s="75"/>
      <c r="G25" s="76"/>
      <c r="H25" s="77"/>
      <c r="I25" s="77"/>
      <c r="J25" s="78"/>
      <c r="K25" s="2"/>
      <c r="L25" s="2"/>
    </row>
    <row r="26" spans="1:12" s="1" customFormat="1" ht="23.25">
      <c r="A26" s="79" t="s">
        <v>156</v>
      </c>
      <c r="B26" s="80"/>
      <c r="C26" s="80"/>
      <c r="D26" s="80"/>
      <c r="E26" s="2"/>
      <c r="F26" s="80"/>
      <c r="G26" s="80"/>
      <c r="H26" s="80"/>
      <c r="I26" s="80"/>
      <c r="J26" s="81"/>
      <c r="K26" s="2"/>
      <c r="L26" s="2"/>
    </row>
    <row r="27" spans="1:12" s="1" customFormat="1" ht="23.25">
      <c r="A27" s="9" t="s">
        <v>157</v>
      </c>
      <c r="B27" s="4"/>
      <c r="C27" s="4"/>
      <c r="D27" s="4"/>
      <c r="E27" s="80"/>
      <c r="F27" s="4"/>
      <c r="G27" s="4"/>
      <c r="H27" s="4"/>
      <c r="I27" s="4"/>
      <c r="J27" s="46"/>
      <c r="K27" s="2"/>
      <c r="L27" s="2"/>
    </row>
    <row r="28" spans="1:12" s="1" customFormat="1" ht="23.25">
      <c r="A28" s="9" t="s">
        <v>158</v>
      </c>
      <c r="B28" s="4"/>
      <c r="C28" s="4"/>
      <c r="D28" s="4"/>
      <c r="E28" s="4"/>
      <c r="F28" s="4"/>
      <c r="G28" s="4"/>
      <c r="H28" s="4"/>
      <c r="I28" s="4"/>
      <c r="J28" s="46"/>
      <c r="K28" s="4"/>
      <c r="L28" s="4"/>
    </row>
    <row r="29" spans="1:12" s="1" customFormat="1" ht="23.25">
      <c r="A29" s="9" t="s">
        <v>375</v>
      </c>
      <c r="B29" s="4"/>
      <c r="C29" s="4"/>
      <c r="D29" s="4"/>
      <c r="E29" s="4"/>
      <c r="F29" s="4"/>
      <c r="G29" s="4"/>
      <c r="H29" s="4"/>
      <c r="I29" s="4"/>
      <c r="J29" s="46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2"/>
      <c r="K30" s="2"/>
      <c r="L30" s="2"/>
    </row>
    <row r="31" s="1" customFormat="1" ht="23.25"/>
  </sheetData>
  <sheetProtection/>
  <mergeCells count="22"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  <mergeCell ref="B12:C12"/>
    <mergeCell ref="A11:F11"/>
    <mergeCell ref="G4:J4"/>
    <mergeCell ref="G5:J5"/>
    <mergeCell ref="B7:C7"/>
    <mergeCell ref="B8:C8"/>
    <mergeCell ref="B6:F6"/>
    <mergeCell ref="A1:F1"/>
    <mergeCell ref="G1:J1"/>
    <mergeCell ref="A2:F3"/>
    <mergeCell ref="G3:J3"/>
    <mergeCell ref="G9:J9"/>
    <mergeCell ref="B10:C1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J64"/>
  <sheetViews>
    <sheetView view="pageBreakPreview" zoomScaleSheetLayoutView="100" zoomScalePageLayoutView="0" workbookViewId="0" topLeftCell="A46">
      <selection activeCell="H37" sqref="H37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1" customWidth="1"/>
    <col min="4" max="4" width="14.00390625" style="13" customWidth="1"/>
    <col min="5" max="5" width="12.57421875" style="13" customWidth="1"/>
    <col min="6" max="6" width="12.8515625" style="13" customWidth="1"/>
    <col min="7" max="7" width="61.28125" style="13" customWidth="1"/>
    <col min="8" max="8" width="11.7109375" style="13" customWidth="1"/>
    <col min="9" max="16384" width="9.140625" style="13" customWidth="1"/>
  </cols>
  <sheetData>
    <row r="1" spans="2:8" ht="40.5" customHeight="1">
      <c r="B1" s="14"/>
      <c r="C1" s="15"/>
      <c r="D1" s="14"/>
      <c r="E1" s="14"/>
      <c r="F1" s="14"/>
      <c r="G1" s="14"/>
      <c r="H1" s="16" t="s">
        <v>336</v>
      </c>
    </row>
    <row r="2" spans="2:8" ht="26.25">
      <c r="B2" s="565" t="str">
        <f>งบทดลอง1!A1</f>
        <v>เทศบาลตำบลท่าสาย</v>
      </c>
      <c r="C2" s="565"/>
      <c r="D2" s="565"/>
      <c r="E2" s="565"/>
      <c r="F2" s="565"/>
      <c r="G2" s="565"/>
      <c r="H2" s="565"/>
    </row>
    <row r="3" spans="2:8" ht="26.25">
      <c r="B3" s="565" t="s">
        <v>122</v>
      </c>
      <c r="C3" s="565"/>
      <c r="D3" s="565"/>
      <c r="E3" s="565"/>
      <c r="F3" s="565"/>
      <c r="G3" s="565"/>
      <c r="H3" s="565"/>
    </row>
    <row r="4" spans="2:8" ht="26.25">
      <c r="B4" s="643" t="str">
        <f>งบทดลอง1!A3</f>
        <v>ณ  วันที่   30  มิถุนายน  2556</v>
      </c>
      <c r="C4" s="643"/>
      <c r="D4" s="643"/>
      <c r="E4" s="643"/>
      <c r="F4" s="643"/>
      <c r="G4" s="643"/>
      <c r="H4" s="643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644" t="s">
        <v>85</v>
      </c>
      <c r="C6" s="88" t="s">
        <v>166</v>
      </c>
      <c r="D6" s="646" t="s">
        <v>124</v>
      </c>
      <c r="E6" s="647"/>
      <c r="F6" s="646" t="s">
        <v>36</v>
      </c>
      <c r="G6" s="647"/>
      <c r="H6" s="644" t="s">
        <v>52</v>
      </c>
    </row>
    <row r="7" spans="2:8" ht="26.25" customHeight="1">
      <c r="B7" s="645"/>
      <c r="C7" s="19" t="s">
        <v>167</v>
      </c>
      <c r="D7" s="648"/>
      <c r="E7" s="649"/>
      <c r="F7" s="648"/>
      <c r="G7" s="649"/>
      <c r="H7" s="645"/>
    </row>
    <row r="8" spans="2:8" ht="26.25" customHeight="1">
      <c r="B8" s="531">
        <v>1</v>
      </c>
      <c r="C8" s="533" t="s">
        <v>547</v>
      </c>
      <c r="D8" s="22" t="s">
        <v>549</v>
      </c>
      <c r="E8" s="87" t="s">
        <v>550</v>
      </c>
      <c r="F8" s="22" t="s">
        <v>589</v>
      </c>
      <c r="G8" s="534"/>
      <c r="H8" s="536">
        <v>733800</v>
      </c>
    </row>
    <row r="9" spans="2:8" ht="26.25" customHeight="1">
      <c r="B9" s="29"/>
      <c r="C9" s="533" t="s">
        <v>548</v>
      </c>
      <c r="D9" s="532"/>
      <c r="E9" s="534"/>
      <c r="F9" s="535" t="s">
        <v>551</v>
      </c>
      <c r="G9" s="534"/>
      <c r="H9" s="29"/>
    </row>
    <row r="10" spans="2:8" ht="26.25" customHeight="1">
      <c r="B10" s="29"/>
      <c r="C10" s="533"/>
      <c r="D10" s="532"/>
      <c r="E10" s="534"/>
      <c r="F10" s="535" t="s">
        <v>609</v>
      </c>
      <c r="G10" s="534"/>
      <c r="H10" s="29"/>
    </row>
    <row r="11" spans="2:8" ht="26.25" customHeight="1">
      <c r="B11" s="30"/>
      <c r="C11" s="537"/>
      <c r="D11" s="450"/>
      <c r="E11" s="525"/>
      <c r="F11" s="538" t="s">
        <v>608</v>
      </c>
      <c r="G11" s="525"/>
      <c r="H11" s="30"/>
    </row>
    <row r="12" spans="2:8" ht="26.25" customHeight="1">
      <c r="B12" s="29">
        <v>2</v>
      </c>
      <c r="C12" s="533" t="s">
        <v>552</v>
      </c>
      <c r="D12" s="22" t="s">
        <v>554</v>
      </c>
      <c r="E12" s="539" t="s">
        <v>555</v>
      </c>
      <c r="F12" s="650" t="s">
        <v>563</v>
      </c>
      <c r="G12" s="651"/>
      <c r="H12" s="524">
        <v>27000</v>
      </c>
    </row>
    <row r="13" spans="2:8" ht="26.25" customHeight="1">
      <c r="B13" s="30"/>
      <c r="C13" s="537" t="s">
        <v>553</v>
      </c>
      <c r="D13" s="450"/>
      <c r="E13" s="525"/>
      <c r="F13" s="450"/>
      <c r="G13" s="525"/>
      <c r="H13" s="30"/>
    </row>
    <row r="14" spans="2:8" ht="26.25" customHeight="1">
      <c r="B14" s="29">
        <v>3</v>
      </c>
      <c r="C14" s="533" t="s">
        <v>556</v>
      </c>
      <c r="D14" s="284" t="s">
        <v>557</v>
      </c>
      <c r="E14" s="286" t="s">
        <v>558</v>
      </c>
      <c r="F14" s="650" t="s">
        <v>559</v>
      </c>
      <c r="G14" s="651"/>
      <c r="H14" s="524">
        <v>15000</v>
      </c>
    </row>
    <row r="15" spans="2:8" ht="26.25" customHeight="1">
      <c r="B15" s="30"/>
      <c r="C15" s="537" t="s">
        <v>553</v>
      </c>
      <c r="D15" s="450"/>
      <c r="E15" s="525"/>
      <c r="F15" s="450"/>
      <c r="G15" s="525"/>
      <c r="H15" s="30"/>
    </row>
    <row r="16" spans="2:8" ht="26.25" customHeight="1">
      <c r="B16" s="29">
        <v>4</v>
      </c>
      <c r="C16" s="533" t="s">
        <v>560</v>
      </c>
      <c r="D16" s="22" t="s">
        <v>561</v>
      </c>
      <c r="E16" s="539" t="s">
        <v>562</v>
      </c>
      <c r="F16" s="650" t="s">
        <v>559</v>
      </c>
      <c r="G16" s="651"/>
      <c r="H16" s="524">
        <v>15000</v>
      </c>
    </row>
    <row r="17" spans="2:8" ht="26.25" customHeight="1">
      <c r="B17" s="30"/>
      <c r="C17" s="537" t="s">
        <v>553</v>
      </c>
      <c r="D17" s="450"/>
      <c r="E17" s="525"/>
      <c r="F17" s="450"/>
      <c r="G17" s="525"/>
      <c r="H17" s="30"/>
    </row>
    <row r="18" spans="2:8" ht="26.25" customHeight="1">
      <c r="B18" s="29">
        <v>5</v>
      </c>
      <c r="C18" s="533" t="s">
        <v>564</v>
      </c>
      <c r="D18" s="22" t="s">
        <v>565</v>
      </c>
      <c r="E18" s="539" t="s">
        <v>566</v>
      </c>
      <c r="F18" s="650" t="s">
        <v>559</v>
      </c>
      <c r="G18" s="651"/>
      <c r="H18" s="524">
        <v>15000</v>
      </c>
    </row>
    <row r="19" spans="2:8" ht="26.25" customHeight="1">
      <c r="B19" s="30"/>
      <c r="C19" s="537" t="s">
        <v>553</v>
      </c>
      <c r="D19" s="450"/>
      <c r="E19" s="525"/>
      <c r="F19" s="450"/>
      <c r="G19" s="525"/>
      <c r="H19" s="30"/>
    </row>
    <row r="20" spans="2:8" ht="26.25" customHeight="1">
      <c r="B20" s="304">
        <v>6</v>
      </c>
      <c r="C20" s="318" t="s">
        <v>567</v>
      </c>
      <c r="D20" s="22" t="s">
        <v>554</v>
      </c>
      <c r="E20" s="539" t="s">
        <v>555</v>
      </c>
      <c r="F20" s="650" t="s">
        <v>568</v>
      </c>
      <c r="G20" s="651"/>
      <c r="H20" s="319">
        <v>1080</v>
      </c>
    </row>
    <row r="21" spans="2:8" ht="26.25" customHeight="1">
      <c r="B21" s="450"/>
      <c r="C21" s="537" t="s">
        <v>583</v>
      </c>
      <c r="D21" s="21" t="s">
        <v>305</v>
      </c>
      <c r="E21" s="20"/>
      <c r="F21" s="21"/>
      <c r="G21" s="515"/>
      <c r="H21" s="42"/>
    </row>
    <row r="22" spans="2:8" ht="26.25" customHeight="1">
      <c r="B22" s="532">
        <v>7</v>
      </c>
      <c r="C22" s="533" t="s">
        <v>584</v>
      </c>
      <c r="D22" s="22" t="s">
        <v>586</v>
      </c>
      <c r="E22" s="87" t="s">
        <v>587</v>
      </c>
      <c r="F22" s="22" t="s">
        <v>588</v>
      </c>
      <c r="G22" s="544"/>
      <c r="H22" s="545">
        <f>79000+32500+621300-600-500</f>
        <v>731700</v>
      </c>
    </row>
    <row r="23" spans="2:8" ht="26.25" customHeight="1">
      <c r="B23" s="532"/>
      <c r="C23" s="533" t="s">
        <v>585</v>
      </c>
      <c r="D23" s="22"/>
      <c r="E23" s="87"/>
      <c r="F23" s="535" t="s">
        <v>590</v>
      </c>
      <c r="G23" s="544"/>
      <c r="H23" s="545"/>
    </row>
    <row r="24" spans="2:8" ht="26.25" customHeight="1">
      <c r="B24" s="532"/>
      <c r="C24" s="533"/>
      <c r="D24" s="22"/>
      <c r="E24" s="87"/>
      <c r="F24" s="535" t="s">
        <v>609</v>
      </c>
      <c r="G24" s="544"/>
      <c r="H24" s="545"/>
    </row>
    <row r="25" spans="2:8" ht="26.25" customHeight="1">
      <c r="B25" s="450"/>
      <c r="C25" s="537"/>
      <c r="D25" s="21"/>
      <c r="E25" s="20"/>
      <c r="F25" s="538" t="s">
        <v>610</v>
      </c>
      <c r="G25" s="515"/>
      <c r="H25" s="42"/>
    </row>
    <row r="26" spans="2:8" ht="26.25" customHeight="1">
      <c r="B26" s="532">
        <v>8</v>
      </c>
      <c r="C26" s="533" t="s">
        <v>591</v>
      </c>
      <c r="D26" s="22" t="s">
        <v>554</v>
      </c>
      <c r="E26" s="539" t="s">
        <v>555</v>
      </c>
      <c r="F26" s="650" t="s">
        <v>593</v>
      </c>
      <c r="G26" s="651"/>
      <c r="H26" s="545">
        <v>27000</v>
      </c>
    </row>
    <row r="27" spans="2:8" ht="26.25" customHeight="1">
      <c r="B27" s="450"/>
      <c r="C27" s="537" t="s">
        <v>592</v>
      </c>
      <c r="D27" s="21"/>
      <c r="E27" s="87"/>
      <c r="F27" s="22"/>
      <c r="G27" s="544"/>
      <c r="H27" s="42"/>
    </row>
    <row r="28" spans="2:8" ht="26.25" customHeight="1">
      <c r="B28" s="532">
        <v>9</v>
      </c>
      <c r="C28" s="533" t="s">
        <v>594</v>
      </c>
      <c r="D28" s="22" t="s">
        <v>557</v>
      </c>
      <c r="E28" s="286" t="s">
        <v>558</v>
      </c>
      <c r="F28" s="650" t="s">
        <v>596</v>
      </c>
      <c r="G28" s="651"/>
      <c r="H28" s="524">
        <v>15000</v>
      </c>
    </row>
    <row r="29" spans="2:8" ht="26.25" customHeight="1">
      <c r="B29" s="450"/>
      <c r="C29" s="537" t="s">
        <v>592</v>
      </c>
      <c r="D29" s="21"/>
      <c r="E29" s="546"/>
      <c r="F29" s="22"/>
      <c r="G29" s="544"/>
      <c r="H29" s="42"/>
    </row>
    <row r="30" spans="2:8" ht="26.25" customHeight="1">
      <c r="B30" s="532">
        <v>10</v>
      </c>
      <c r="C30" s="533" t="s">
        <v>595</v>
      </c>
      <c r="D30" s="22" t="s">
        <v>561</v>
      </c>
      <c r="E30" s="539" t="s">
        <v>562</v>
      </c>
      <c r="F30" s="650" t="s">
        <v>596</v>
      </c>
      <c r="G30" s="651"/>
      <c r="H30" s="524">
        <v>15000</v>
      </c>
    </row>
    <row r="31" spans="2:8" ht="26.25" customHeight="1">
      <c r="B31" s="450"/>
      <c r="C31" s="19" t="s">
        <v>592</v>
      </c>
      <c r="D31" s="450"/>
      <c r="E31" s="525"/>
      <c r="F31" s="450"/>
      <c r="G31" s="525"/>
      <c r="H31" s="30"/>
    </row>
    <row r="32" spans="2:8" ht="26.25" customHeight="1">
      <c r="B32" s="532">
        <v>11</v>
      </c>
      <c r="C32" s="533" t="s">
        <v>597</v>
      </c>
      <c r="D32" s="22" t="s">
        <v>565</v>
      </c>
      <c r="E32" s="539" t="s">
        <v>566</v>
      </c>
      <c r="F32" s="650" t="s">
        <v>596</v>
      </c>
      <c r="G32" s="651"/>
      <c r="H32" s="524">
        <v>15000</v>
      </c>
    </row>
    <row r="33" spans="2:8" ht="26.25" customHeight="1">
      <c r="B33" s="450"/>
      <c r="C33" s="19" t="s">
        <v>592</v>
      </c>
      <c r="D33" s="450"/>
      <c r="E33" s="525"/>
      <c r="F33" s="450"/>
      <c r="G33" s="525"/>
      <c r="H33" s="30"/>
    </row>
    <row r="34" spans="2:8" ht="26.25" customHeight="1">
      <c r="B34" s="532">
        <v>12</v>
      </c>
      <c r="C34" s="533" t="s">
        <v>569</v>
      </c>
      <c r="D34" s="22" t="s">
        <v>554</v>
      </c>
      <c r="E34" s="539" t="s">
        <v>555</v>
      </c>
      <c r="F34" s="650" t="s">
        <v>568</v>
      </c>
      <c r="G34" s="651"/>
      <c r="H34" s="319">
        <v>1080</v>
      </c>
    </row>
    <row r="35" spans="2:8" ht="26.25" customHeight="1">
      <c r="B35" s="30"/>
      <c r="C35" s="533" t="s">
        <v>598</v>
      </c>
      <c r="D35" s="22"/>
      <c r="E35" s="87"/>
      <c r="F35" s="22"/>
      <c r="G35" s="544"/>
      <c r="H35" s="545"/>
    </row>
    <row r="36" spans="2:9" ht="24" thickBot="1">
      <c r="B36" s="655" t="s">
        <v>84</v>
      </c>
      <c r="C36" s="653"/>
      <c r="D36" s="653"/>
      <c r="E36" s="653"/>
      <c r="F36" s="653"/>
      <c r="G36" s="654"/>
      <c r="H36" s="43">
        <v>0</v>
      </c>
      <c r="I36" s="13">
        <f>738800+1400+13760</f>
        <v>753960</v>
      </c>
    </row>
    <row r="37" spans="1:6" s="14" customFormat="1" ht="24" thickTop="1">
      <c r="A37" s="32"/>
      <c r="B37" s="89"/>
      <c r="C37" s="294"/>
      <c r="D37" s="89"/>
      <c r="E37" s="89"/>
      <c r="F37" s="89"/>
    </row>
    <row r="38" spans="1:6" s="14" customFormat="1" ht="23.25">
      <c r="A38" s="32"/>
      <c r="B38" s="32"/>
      <c r="C38" s="294"/>
      <c r="D38" s="89"/>
      <c r="E38" s="89"/>
      <c r="F38" s="89"/>
    </row>
    <row r="39" spans="1:6" s="14" customFormat="1" ht="23.25">
      <c r="A39" s="32"/>
      <c r="B39" s="32"/>
      <c r="C39" s="294"/>
      <c r="D39" s="89"/>
      <c r="E39" s="89"/>
      <c r="F39" s="89"/>
    </row>
    <row r="40" spans="2:8" ht="21.75">
      <c r="B40" s="27"/>
      <c r="C40" s="295"/>
      <c r="D40" s="27"/>
      <c r="E40" s="27"/>
      <c r="F40" s="27"/>
      <c r="G40" s="28"/>
      <c r="H40" s="28"/>
    </row>
    <row r="41" spans="2:7" ht="23.25">
      <c r="B41" s="14"/>
      <c r="C41" s="15"/>
      <c r="D41" s="14"/>
      <c r="E41" s="14"/>
      <c r="F41" s="14"/>
      <c r="G41" s="14"/>
    </row>
    <row r="42" spans="2:8" ht="31.5" customHeight="1">
      <c r="B42" s="14"/>
      <c r="C42" s="15"/>
      <c r="D42" s="14"/>
      <c r="E42" s="14"/>
      <c r="F42" s="14"/>
      <c r="G42" s="14"/>
      <c r="H42" s="16" t="s">
        <v>114</v>
      </c>
    </row>
    <row r="43" spans="2:8" ht="26.25">
      <c r="B43" s="565" t="str">
        <f>งบทดลอง1!A1</f>
        <v>เทศบาลตำบลท่าสาย</v>
      </c>
      <c r="C43" s="565"/>
      <c r="D43" s="565"/>
      <c r="E43" s="565"/>
      <c r="F43" s="565"/>
      <c r="G43" s="565"/>
      <c r="H43" s="565"/>
    </row>
    <row r="44" spans="2:10" ht="26.25">
      <c r="B44" s="565" t="s">
        <v>103</v>
      </c>
      <c r="C44" s="565"/>
      <c r="D44" s="565"/>
      <c r="E44" s="565"/>
      <c r="F44" s="565"/>
      <c r="G44" s="565"/>
      <c r="H44" s="565"/>
      <c r="I44" s="27"/>
      <c r="J44" s="27"/>
    </row>
    <row r="45" spans="2:10" ht="26.25">
      <c r="B45" s="643" t="str">
        <f>งบทดลอง1!A3</f>
        <v>ณ  วันที่   30  มิถุนายน  2556</v>
      </c>
      <c r="C45" s="643"/>
      <c r="D45" s="643"/>
      <c r="E45" s="643"/>
      <c r="F45" s="643"/>
      <c r="G45" s="643"/>
      <c r="H45" s="643"/>
      <c r="I45" s="27"/>
      <c r="J45" s="27"/>
    </row>
    <row r="46" spans="2:10" ht="26.25">
      <c r="B46" s="17"/>
      <c r="C46" s="18"/>
      <c r="D46" s="17"/>
      <c r="E46" s="17"/>
      <c r="F46" s="17"/>
      <c r="G46" s="17"/>
      <c r="H46" s="17"/>
      <c r="I46" s="27"/>
      <c r="J46" s="27"/>
    </row>
    <row r="47" spans="2:8" ht="23.25">
      <c r="B47" s="644" t="s">
        <v>85</v>
      </c>
      <c r="C47" s="88" t="s">
        <v>166</v>
      </c>
      <c r="D47" s="646" t="s">
        <v>124</v>
      </c>
      <c r="E47" s="647"/>
      <c r="F47" s="646" t="s">
        <v>36</v>
      </c>
      <c r="G47" s="647"/>
      <c r="H47" s="644" t="s">
        <v>52</v>
      </c>
    </row>
    <row r="48" spans="2:8" ht="23.25">
      <c r="B48" s="644"/>
      <c r="C48" s="19" t="s">
        <v>167</v>
      </c>
      <c r="D48" s="648"/>
      <c r="E48" s="649"/>
      <c r="F48" s="648"/>
      <c r="G48" s="649"/>
      <c r="H48" s="644"/>
    </row>
    <row r="49" spans="2:8" ht="23.25">
      <c r="B49" s="29">
        <v>1</v>
      </c>
      <c r="C49" s="293" t="s">
        <v>715</v>
      </c>
      <c r="D49" s="87" t="s">
        <v>599</v>
      </c>
      <c r="E49" s="87" t="s">
        <v>600</v>
      </c>
      <c r="F49" s="22" t="s">
        <v>718</v>
      </c>
      <c r="G49" s="520"/>
      <c r="H49" s="547">
        <v>4516</v>
      </c>
    </row>
    <row r="50" spans="2:8" ht="23.25">
      <c r="B50" s="30"/>
      <c r="C50" s="296" t="s">
        <v>716</v>
      </c>
      <c r="D50" s="525"/>
      <c r="E50" s="525"/>
      <c r="F50" s="21" t="s">
        <v>717</v>
      </c>
      <c r="G50" s="521"/>
      <c r="H50" s="548"/>
    </row>
    <row r="51" spans="2:8" ht="23.25">
      <c r="B51" s="29">
        <v>2</v>
      </c>
      <c r="C51" s="293" t="s">
        <v>719</v>
      </c>
      <c r="D51" s="87" t="s">
        <v>603</v>
      </c>
      <c r="E51" s="87" t="s">
        <v>604</v>
      </c>
      <c r="F51" s="22" t="s">
        <v>605</v>
      </c>
      <c r="G51" s="520"/>
      <c r="H51" s="547">
        <v>8640</v>
      </c>
    </row>
    <row r="52" spans="2:8" ht="23.25">
      <c r="B52" s="30"/>
      <c r="C52" s="296" t="s">
        <v>716</v>
      </c>
      <c r="D52" s="525"/>
      <c r="E52" s="525"/>
      <c r="F52" s="21" t="s">
        <v>720</v>
      </c>
      <c r="G52" s="521"/>
      <c r="H52" s="548"/>
    </row>
    <row r="53" spans="2:8" ht="23.25">
      <c r="B53" s="29">
        <v>3</v>
      </c>
      <c r="C53" s="293" t="s">
        <v>721</v>
      </c>
      <c r="D53" s="87" t="s">
        <v>601</v>
      </c>
      <c r="E53" s="87" t="s">
        <v>602</v>
      </c>
      <c r="F53" s="22" t="s">
        <v>718</v>
      </c>
      <c r="G53" s="520"/>
      <c r="H53" s="549">
        <v>4416</v>
      </c>
    </row>
    <row r="54" spans="2:8" ht="23.25">
      <c r="B54" s="30"/>
      <c r="C54" s="296" t="s">
        <v>716</v>
      </c>
      <c r="D54" s="450"/>
      <c r="E54" s="20"/>
      <c r="F54" s="21" t="s">
        <v>717</v>
      </c>
      <c r="G54" s="521"/>
      <c r="H54" s="548"/>
    </row>
    <row r="55" spans="2:8" ht="23.25">
      <c r="B55" s="29">
        <v>6</v>
      </c>
      <c r="C55" s="293" t="s">
        <v>722</v>
      </c>
      <c r="D55" s="87" t="s">
        <v>724</v>
      </c>
      <c r="E55" s="87" t="s">
        <v>725</v>
      </c>
      <c r="F55" s="22" t="s">
        <v>726</v>
      </c>
      <c r="G55" s="520"/>
      <c r="H55" s="547">
        <v>18160</v>
      </c>
    </row>
    <row r="56" spans="2:8" ht="23.25">
      <c r="B56" s="30"/>
      <c r="C56" s="296" t="s">
        <v>723</v>
      </c>
      <c r="D56" s="525"/>
      <c r="E56" s="525"/>
      <c r="F56" s="21"/>
      <c r="G56" s="521"/>
      <c r="H56" s="30"/>
    </row>
    <row r="57" spans="2:8" ht="24" thickBot="1">
      <c r="B57" s="652" t="s">
        <v>84</v>
      </c>
      <c r="C57" s="653"/>
      <c r="D57" s="653"/>
      <c r="E57" s="653"/>
      <c r="F57" s="653"/>
      <c r="G57" s="654"/>
      <c r="H57" s="43">
        <f>SUM(H49:H55)</f>
        <v>35732</v>
      </c>
    </row>
    <row r="58" spans="2:8" ht="24" thickTop="1">
      <c r="B58" s="23"/>
      <c r="C58" s="23"/>
      <c r="D58" s="23"/>
      <c r="E58" s="23"/>
      <c r="F58" s="23"/>
      <c r="G58" s="23"/>
      <c r="H58" s="297"/>
    </row>
    <row r="59" spans="2:8" ht="23.25">
      <c r="B59" s="23"/>
      <c r="C59" s="23"/>
      <c r="D59" s="23"/>
      <c r="E59" s="23"/>
      <c r="F59" s="23"/>
      <c r="G59" s="23"/>
      <c r="H59" s="297"/>
    </row>
    <row r="60" spans="2:8" ht="23.25">
      <c r="B60" s="23"/>
      <c r="C60" s="23"/>
      <c r="D60" s="23"/>
      <c r="E60" s="23"/>
      <c r="F60" s="23"/>
      <c r="G60" s="23"/>
      <c r="H60" s="297"/>
    </row>
    <row r="61" spans="2:8" ht="23.25">
      <c r="B61" s="24"/>
      <c r="C61" s="25"/>
      <c r="D61" s="24"/>
      <c r="E61" s="24"/>
      <c r="F61" s="24"/>
      <c r="G61" s="24"/>
      <c r="H61" s="26"/>
    </row>
    <row r="62" spans="1:6" s="14" customFormat="1" ht="23.25">
      <c r="A62" s="32"/>
      <c r="B62" s="32"/>
      <c r="C62" s="294"/>
      <c r="D62" s="89"/>
      <c r="E62" s="89"/>
      <c r="F62" s="89"/>
    </row>
    <row r="63" spans="1:6" s="14" customFormat="1" ht="23.25">
      <c r="A63" s="32"/>
      <c r="B63" s="32"/>
      <c r="C63" s="294"/>
      <c r="D63" s="89"/>
      <c r="E63" s="89"/>
      <c r="F63" s="89"/>
    </row>
    <row r="64" spans="2:8" ht="21.75">
      <c r="B64" s="27"/>
      <c r="C64" s="295"/>
      <c r="D64" s="27"/>
      <c r="E64" s="27"/>
      <c r="F64" s="27"/>
      <c r="G64" s="27"/>
      <c r="H64" s="27"/>
    </row>
    <row r="65" ht="41.25" customHeight="1"/>
  </sheetData>
  <sheetProtection/>
  <mergeCells count="26">
    <mergeCell ref="F34:G34"/>
    <mergeCell ref="F14:G14"/>
    <mergeCell ref="F16:G16"/>
    <mergeCell ref="F18:G18"/>
    <mergeCell ref="F47:G48"/>
    <mergeCell ref="F20:G20"/>
    <mergeCell ref="B36:G36"/>
    <mergeCell ref="F26:G26"/>
    <mergeCell ref="F28:G28"/>
    <mergeCell ref="F30:G30"/>
    <mergeCell ref="B57:G57"/>
    <mergeCell ref="B44:H44"/>
    <mergeCell ref="B45:H45"/>
    <mergeCell ref="H47:H48"/>
    <mergeCell ref="B47:B48"/>
    <mergeCell ref="D47:E48"/>
    <mergeCell ref="B2:H2"/>
    <mergeCell ref="B3:H3"/>
    <mergeCell ref="B4:H4"/>
    <mergeCell ref="B6:B7"/>
    <mergeCell ref="D6:E7"/>
    <mergeCell ref="B43:H43"/>
    <mergeCell ref="H6:H7"/>
    <mergeCell ref="F6:G7"/>
    <mergeCell ref="F12:G12"/>
    <mergeCell ref="F32:G32"/>
  </mergeCells>
  <printOptions/>
  <pageMargins left="0.27" right="0.12" top="0.13" bottom="0.11811023622047245" header="0.35" footer="0.3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2013-08-21T08:53:33Z</cp:lastPrinted>
  <dcterms:created xsi:type="dcterms:W3CDTF">2003-08-05T04:05:04Z</dcterms:created>
  <dcterms:modified xsi:type="dcterms:W3CDTF">2013-08-21T10:01:47Z</dcterms:modified>
  <cp:category/>
  <cp:version/>
  <cp:contentType/>
  <cp:contentStatus/>
</cp:coreProperties>
</file>