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920" activeTab="0"/>
  </bookViews>
  <sheets>
    <sheet name="งบทดลอง1" sheetId="1" r:id="rId1"/>
    <sheet name="รับ-จ่ายเงินสด (2)" sheetId="2" r:id="rId2"/>
    <sheet name="539-6-01276-5" sheetId="3" r:id="rId3"/>
    <sheet name="001-2-50657-8" sheetId="4" r:id="rId4"/>
    <sheet name="รายละเอียด" sheetId="5" r:id="rId5"/>
    <sheet name="001-4-10325-7" sheetId="6" r:id="rId6"/>
    <sheet name="001-2-62433-8" sheetId="7" r:id="rId7"/>
    <sheet name="504-0-23040-0" sheetId="8" r:id="rId8"/>
    <sheet name="ลูกหนี้เงินยืม 2" sheetId="9" r:id="rId9"/>
    <sheet name="รายจ่ายค้างจ่าย 1" sheetId="10" r:id="rId10"/>
    <sheet name="รายละเอียดเงินสะสม" sheetId="11" r:id="rId11"/>
    <sheet name="เงินอุดหนุนเฉพาะกิจ" sheetId="12" r:id="rId12"/>
    <sheet name="รายงานยอดเงินสะสม" sheetId="13" r:id="rId13"/>
    <sheet name="รายละเอียดเงินรับฝาก" sheetId="14" r:id="rId14"/>
    <sheet name="งบกระทบยอด" sheetId="15" r:id="rId15"/>
    <sheet name="ส่งใช้" sheetId="16" r:id="rId16"/>
    <sheet name="มาตรฐาน 1" sheetId="17" r:id="rId17"/>
    <sheet name="มาตรฐาน2" sheetId="18" r:id="rId18"/>
    <sheet name="มาตรฐาน 3" sheetId="19" r:id="rId19"/>
    <sheet name="Sheet2" sheetId="20" r:id="rId20"/>
    <sheet name="รายการปรับปรุงทั่วไป" sheetId="21" r:id="rId21"/>
    <sheet name="โอนเงินสินเดือน" sheetId="22" r:id="rId22"/>
    <sheet name="รายการโอน" sheetId="23" r:id="rId23"/>
    <sheet name="รายการปรับปรุงต้นปี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<sst xmlns="http://schemas.openxmlformats.org/spreadsheetml/2006/main" count="1652" uniqueCount="676">
  <si>
    <t>เลขที่.........................../2553...........</t>
  </si>
  <si>
    <t>เงินรับฝาก - เงินสวัสดิการฯ ธ.ออมสิน</t>
  </si>
  <si>
    <t>เลขที่........................../2552...........</t>
  </si>
  <si>
    <t>บัญชี ออมทรัพย์ ธกส. เลขที่ 001-2-50657-8</t>
  </si>
  <si>
    <t xml:space="preserve">    บัญชี กระแสรายวัน กรุงไทย เลขที่ 539-6-01276-5</t>
  </si>
  <si>
    <t xml:space="preserve">โอนเงินรายได้ ธนาคาร กรุงไทย ประเภท กระแสรายวัน เลขที่บัญชี 539-6-01276-5   เข้า ธกส. </t>
  </si>
  <si>
    <t>ประเภท ออมทรัพย์   เลขที่บัญชี 001-2-50657-8</t>
  </si>
  <si>
    <t>เลขที่........................./2552...........</t>
  </si>
  <si>
    <t xml:space="preserve">    บัญชี กระแสรายวัน กรุงไทย เลขที่ 001-2-62433-8</t>
  </si>
  <si>
    <t>เลขที่......................../2553...........</t>
  </si>
  <si>
    <t>เลขที่....................../2553...........</t>
  </si>
  <si>
    <t>วันที่..... 2    มีนาคม   2553.......</t>
  </si>
  <si>
    <t>ยกเลิเช็ค เลขที่  4286920-4286922   เป็นค่าเดิอนทางไปราชการเข้าร่วมงานมหกรรม " รวมพลังองค์การ</t>
  </si>
  <si>
    <t xml:space="preserve">บริหารส่วนตำบลอุทิศตนปิดทองหลังพระ"  </t>
  </si>
  <si>
    <t xml:space="preserve">โอนเงินรายได้  ธกส.ประเภทออมทรัพย์       เลขที่บัญชี  001-2-62433-876-5   เข้า ธกส. </t>
  </si>
  <si>
    <t>บัญชี กระแสรายวัน ธกส. เลขที่ 001-5-00135-1</t>
  </si>
  <si>
    <t xml:space="preserve">              บัญชี ออมทรัพย์ ธกส. เลขที่ 001-2-50657-8</t>
  </si>
  <si>
    <t xml:space="preserve">โอนเงินฝาก ธกส. ประเภท ออมทรัพย์  เลขที่บัญชี 001-2-50657-8   เข้า ธกส. ประเภท เงินฝากกระแสรายวัน  </t>
  </si>
  <si>
    <t>เลขที่......................./2552...........</t>
  </si>
  <si>
    <t>วันที่....  31   มีนาคม  2552........</t>
  </si>
  <si>
    <t>เลขที่บัญชี 001-5-00135-1 เพื่อจ่ายเช็คต่าง ๆ ประจำเดือน  มีนาคม  2552</t>
  </si>
  <si>
    <t>วันที่....  31 พฤษภาคม  2552........</t>
  </si>
  <si>
    <t>เลขที่บัญชี 001-5-00135-1 เพื่อจ่ายเช็คต่าง ๆ ประจำเดือน   พฤษภาคม  2552</t>
  </si>
  <si>
    <t>วันที่....  30  มิถุนายน  2552........</t>
  </si>
  <si>
    <t>เลขที่บัญชี 001-5-00135-1 เพื่อจ่ายเช็คต่าง ๆ ประจำเดือน   มิถุนายน  2552</t>
  </si>
  <si>
    <t>วันที่....  31  กรกฎาคม 2552........</t>
  </si>
  <si>
    <t>วันที่....  31  สิงหาคม    2552........</t>
  </si>
  <si>
    <t>เลขที่บัญชี 001-5-00135-1 เพื่อจ่ายเช็คต่าง ๆ ประจำเดือน   สิงหาคม  2552</t>
  </si>
  <si>
    <t>เลขที่..........11......./2553...........</t>
  </si>
  <si>
    <t>วันที่....  30  พฤศจิกายน    2552........</t>
  </si>
  <si>
    <t>เลขที่บัญชี 001-5-00135-1 เพื่อจ่ายเช็คต่าง ๆ ประจำเดือน   พฤศจิกายน  2552</t>
  </si>
  <si>
    <t>วันที่.... 23   กุมภาพันธ์ 2553 ........</t>
  </si>
  <si>
    <t>05</t>
  </si>
  <si>
    <t>เลขที่บัญชี 001-5-00135-1 เพื่อจ่ายเช็คต่าง ๆ ประจำเดือน   กุมภาพันธ์  2553</t>
  </si>
  <si>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</si>
  <si>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</si>
  <si>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</si>
  <si>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</si>
  <si>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</si>
  <si>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</si>
  <si>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</si>
  <si>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</si>
  <si>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</si>
  <si>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</si>
  <si>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</si>
  <si>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</si>
  <si>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</si>
  <si>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</si>
  <si>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</si>
  <si>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</si>
  <si>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</si>
  <si>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000</t>
  </si>
  <si>
    <t>จำนวนเงิน</t>
  </si>
  <si>
    <t>-</t>
  </si>
  <si>
    <t>บาท</t>
  </si>
  <si>
    <t>รายจ่ายค้างจ่าย</t>
  </si>
  <si>
    <t>ค่าจ้างชั่วคราว</t>
  </si>
  <si>
    <t>090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</si>
  <si>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</si>
  <si>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</si>
  <si>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</si>
  <si>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</si>
  <si>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</si>
  <si>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</si>
  <si>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</si>
  <si>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</si>
  <si>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</si>
  <si>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</si>
  <si>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</si>
  <si>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</si>
  <si>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</si>
  <si>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</si>
  <si>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</si>
  <si>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</si>
  <si>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</si>
  <si>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</si>
  <si>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</si>
  <si>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</si>
  <si>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</si>
  <si>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</si>
  <si>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</si>
  <si>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</si>
  <si>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</si>
  <si>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</si>
  <si>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</t>
  </si>
  <si>
    <t>ลำดับ</t>
  </si>
  <si>
    <t>เบิกจ่ายแล้ว</t>
  </si>
  <si>
    <t>คงเหลือ</t>
  </si>
  <si>
    <t>รับ</t>
  </si>
  <si>
    <t>จ่าย</t>
  </si>
  <si>
    <t>รวมรายจ่าย</t>
  </si>
  <si>
    <t>สูงกว่า</t>
  </si>
  <si>
    <t xml:space="preserve"> -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</si>
  <si>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</si>
  <si>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</si>
  <si>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</si>
  <si>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</si>
  <si>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</si>
  <si>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</si>
  <si>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</si>
  <si>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</si>
  <si>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</si>
  <si>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หมวด / ประเภท</t>
  </si>
  <si>
    <t>รายละเอียดลูกหนี้เงินยืมเงินงบประมาณ</t>
  </si>
  <si>
    <t>เงินฝาก ธกส. กระแสรายวัน  001-5-00459-5</t>
  </si>
  <si>
    <t>บัญชีทุนสำรองเงินสะสม</t>
  </si>
  <si>
    <t>ค่าใช้จ่ายการจัดเก็บภาษีบำรุงท้องที่ 5%</t>
  </si>
  <si>
    <t>บัญชีทุนเศรษฐกิจชุมชน บัญชี 2</t>
  </si>
  <si>
    <t>เงินประกันสัญญา</t>
  </si>
  <si>
    <t>ส่วนลดการจัดเก็บภาษีบำรุงท้องที่ 6%</t>
  </si>
  <si>
    <t>เงินฝาก ธกส. กระแสรายวัน 001-5-00135-1</t>
  </si>
  <si>
    <t>รายรับ</t>
  </si>
  <si>
    <t>หัก</t>
  </si>
  <si>
    <t>รายจ่ายจ่ายจากเงินสะสม</t>
  </si>
  <si>
    <t>เงินรายรับ</t>
  </si>
  <si>
    <t xml:space="preserve"> (หมายเหตุ  1 )</t>
  </si>
  <si>
    <t>เงินรับฝาก  ภาษีบำรุงท้องที่</t>
  </si>
  <si>
    <t xml:space="preserve"> </t>
  </si>
  <si>
    <t xml:space="preserve">(ลงชื่อ)                                                                             (ลงชื่อ)  จ.ส.ท.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</si>
  <si>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(สมชาย  มะรินทร์)      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</si>
  <si>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ปลัดองค์การบริหารส่วนตำบลท่าสาย                                              นายกองค์การบริหารส่วนตำบลท่าสาย</t>
  </si>
  <si>
    <t xml:space="preserve">                       หัวหน้าส่วนการคลัง                      ปลัดองค์การบริหารส่วนตำบลท่าสาย          นายกองค์การบริหารส่วนตำบลท่าสาย</t>
  </si>
  <si>
    <t>รายจ่ายอื่น</t>
  </si>
  <si>
    <t>รายละเอียดลูกหนี้เงินยืมเงินสะสม</t>
  </si>
  <si>
    <t>รวมทั้งสิ้น</t>
  </si>
  <si>
    <t>ชื่อ</t>
  </si>
  <si>
    <t xml:space="preserve">                       หัวหน้าส่วนการคลัง                           รักษาราชการแทนปลัดอบต.ท่าสาย           นายกองค์การบริหารส่วนตำบลท่าสาย</t>
  </si>
  <si>
    <t xml:space="preserve">                    ( นางจันทรา   สุภาวสิทธิ์ )                             ( สมชาย  มะรินทร์ )                                 ( นายสมัย   รัตนจันทร์ )</t>
  </si>
  <si>
    <t xml:space="preserve">(ลงชื่อ)                                                                             (ลงชื่อ)     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</si>
  <si>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(นางเข็มทอง  สุวรรณจักร)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</si>
  <si>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   รักษาราชการแทนปลัดอบต.ท่าสาย                                                 นายกองค์การบริหารส่วนตำบลท่าสาย</t>
  </si>
  <si>
    <t xml:space="preserve">                    ( นางจันทรา   สุภาวสิทธิ์ )                           ( นางเข็มทอง  สุวรรณจักร )                           ( นายสมัย   รัตนจันทร์ )</t>
  </si>
  <si>
    <t xml:space="preserve">    (ลงชื่อ)                                                             (ลงชื่อ)                                                          (ลงชื่อ)</t>
  </si>
  <si>
    <t xml:space="preserve">    (ลงชื่อ)                                                               (ลงชื่อ) จ.ส.ท.                                         (ลงชื่อ)</t>
  </si>
  <si>
    <t xml:space="preserve">         องค์การบริหารส่วนตำบลท่าสาย</t>
  </si>
  <si>
    <t>ธนาคาร ธกส.   สาขา เชียงราย</t>
  </si>
  <si>
    <t>งบกระทบยอดเงินฝากธนาคาร</t>
  </si>
  <si>
    <t>เลขที่บัญชี  001-2-50657-8</t>
  </si>
  <si>
    <t xml:space="preserve">บวก:   </t>
  </si>
  <si>
    <t>เลขที่เช็ค</t>
  </si>
  <si>
    <t>หัก:  เช็คจ่ายที่ผู้รับยังไม่นำมาขึ้นเงินกับธนาคาร</t>
  </si>
  <si>
    <t>ตามเอกสารแนบ</t>
  </si>
  <si>
    <t>4   กรกฎาคม 2550</t>
  </si>
  <si>
    <t>2395928</t>
  </si>
  <si>
    <t>25   กรกฎาคม 2550</t>
  </si>
  <si>
    <t>2395989</t>
  </si>
  <si>
    <t>1   สิงหาคม 2550</t>
  </si>
  <si>
    <t>2396028</t>
  </si>
  <si>
    <t>3   สิงหาคม 2550</t>
  </si>
  <si>
    <t>2396039</t>
  </si>
  <si>
    <t>2396040</t>
  </si>
  <si>
    <t>10   สิงหาคม 2550</t>
  </si>
  <si>
    <t>2680509</t>
  </si>
  <si>
    <t>2680516</t>
  </si>
  <si>
    <t>24   สิงหาคม 2550</t>
  </si>
  <si>
    <t>2680550</t>
  </si>
  <si>
    <t>หัก  รายการกระทบยอดอื่นๆ</t>
  </si>
  <si>
    <t>ผู้จัดทำ                                                                                                      ผู้ตรวจสอบ</t>
  </si>
  <si>
    <t>ลงชื่อ…………….……….วันที่………………..                       ลงชื่อ…………….……….วันที่……………….</t>
  </si>
  <si>
    <t xml:space="preserve">          (นางสาวเพียรทอง  คำทอง)                                                                        (นางจันทรา  สุภาวสิทธิ์)</t>
  </si>
  <si>
    <t>ธนาคาร กรุงไทย  สาขาห้าแยกพ่อขุน</t>
  </si>
  <si>
    <t>ประเภท   กระแสรายวัน</t>
  </si>
  <si>
    <t>เลขที่บัญชี  539 - 6 - 01276 - 5</t>
  </si>
  <si>
    <t>เช็คลงวันที่</t>
  </si>
  <si>
    <t>รายการที่โอนเข้าบัญชี  ยังไม่ทราบว่าเป็นรายรับประเภทใด</t>
  </si>
  <si>
    <t>รายละเอียดเช็คที่ยังไม่ได้นำมาขึ้นเงิน</t>
  </si>
  <si>
    <t>เป็นเงินทั้งสิ้น</t>
  </si>
  <si>
    <t>เลขที่สัญญา</t>
  </si>
  <si>
    <t>เงินยืม</t>
  </si>
  <si>
    <t xml:space="preserve">รายรับ  </t>
  </si>
  <si>
    <t>เงินฝาก ธ. กรุงไทย ประจำ  539-2-04870-6</t>
  </si>
  <si>
    <t>เงินรับฝาก  บุคคลากรถ่ายโอน</t>
  </si>
  <si>
    <t>1. หายอดเงินสะสมจากงบแสดงฐานะการเงิน</t>
  </si>
  <si>
    <t>บัญชีรายได้ค้างรับ (ลูกหนี้ภาษีค้างชำระ)</t>
  </si>
  <si>
    <t xml:space="preserve">   ยอดเงินสะสมที่นำไปใช้ได้</t>
  </si>
  <si>
    <t>2. พิสูจน์ยอดเงินสะสมจากบัญชีเงินสดและเงินฝาก</t>
  </si>
  <si>
    <t>บัญชี(เงินรายรับ-รายจ่าย)</t>
  </si>
  <si>
    <t>บัญชีเงินรับฝากต่าง ๆ</t>
  </si>
  <si>
    <t xml:space="preserve"> องค์การบริหารส่วนตำบลท่าสายมีเงินสะสมที่จะนำไปบริหารได้ ดังนี้</t>
  </si>
  <si>
    <t>ยอดเงินสะสมที่นำไปใช้ได้</t>
  </si>
  <si>
    <t>คงเหลือเงินสะสมที่นำไปใช้ได้</t>
  </si>
  <si>
    <t>กระดาษทำการกระทบยอด (จ่ายจากเงินรายรับ)</t>
  </si>
  <si>
    <t>งบประมาณรายจ่าย</t>
  </si>
  <si>
    <t>แผนงาน / งาน</t>
  </si>
  <si>
    <t>00110</t>
  </si>
  <si>
    <t>00210</t>
  </si>
  <si>
    <t>00220</t>
  </si>
  <si>
    <t>00230</t>
  </si>
  <si>
    <t>00240</t>
  </si>
  <si>
    <t>00250</t>
  </si>
  <si>
    <t>00260</t>
  </si>
  <si>
    <t>00410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</si>
  <si>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</si>
  <si>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</si>
  <si>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</si>
  <si>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</si>
  <si>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</si>
  <si>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</si>
  <si>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</si>
  <si>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00232</t>
  </si>
  <si>
    <t>00241</t>
  </si>
  <si>
    <t>00242</t>
  </si>
  <si>
    <t>00244</t>
  </si>
  <si>
    <t>00252</t>
  </si>
  <si>
    <t>00262</t>
  </si>
  <si>
    <t>00263</t>
  </si>
  <si>
    <t>00411</t>
  </si>
  <si>
    <t xml:space="preserve">     101  ผู้บริหาร</t>
  </si>
  <si>
    <t xml:space="preserve">     102  พนักงาน</t>
  </si>
  <si>
    <t xml:space="preserve">     103  เงินเพิ่มต่าง ๆ</t>
  </si>
  <si>
    <t xml:space="preserve">     105  เงินประจำตำแหน่ง</t>
  </si>
  <si>
    <t>รวมเดือนนี้</t>
  </si>
  <si>
    <t>รวมตั้งแต่ต้นปี</t>
  </si>
  <si>
    <t xml:space="preserve">     131  ค่าจ้างลูกจ้างชั่วคราว</t>
  </si>
  <si>
    <t xml:space="preserve">     201  ค่าตอบแทนคณะผู้บริหารและสมาชิกสภา</t>
  </si>
  <si>
    <t xml:space="preserve">     203  ผู้ปฎิบัติราชการอันเป็นประโยชน์แก่อปท.</t>
  </si>
  <si>
    <t xml:space="preserve">     204  ค่าเบี้ยประชุม</t>
  </si>
  <si>
    <t xml:space="preserve">     205  ค่าตอบแทนการปฎิบัติงานนอกเวลาราชการ</t>
  </si>
  <si>
    <t xml:space="preserve">     206  ค่าเช่าบ้าน</t>
  </si>
  <si>
    <t xml:space="preserve">     207  เงินช่วยเหลือการศึกษาบุตร</t>
  </si>
  <si>
    <t xml:space="preserve">     208  เงินช่วยเหลือค่ารักษาพยาบาล</t>
  </si>
  <si>
    <t xml:space="preserve">     209  เงินช่วยเหลือบุตร</t>
  </si>
  <si>
    <t xml:space="preserve">     251  เพื่อให้ได้ซึ่งบริการ</t>
  </si>
  <si>
    <t xml:space="preserve">     252  บำรุงรักษาและซ่อมแซมทรัพย์สิน</t>
  </si>
  <si>
    <t xml:space="preserve">     253  รายจ่ายค่ารับรองและพิธีการ</t>
  </si>
  <si>
    <t xml:space="preserve">     254  รายจ่ายที่ไม่เข้าลักษณะรายจ่ายหมวดอื่น ๆ</t>
  </si>
  <si>
    <t xml:space="preserve">  - 2 -</t>
  </si>
  <si>
    <t xml:space="preserve">     270   วัสดุดับเพลิง</t>
  </si>
  <si>
    <t xml:space="preserve">     271   วัสดุสำนักงาน</t>
  </si>
  <si>
    <t xml:space="preserve">     272   วัสดุไฟฟ้าและวิทยุ</t>
  </si>
  <si>
    <t xml:space="preserve">     273   วัสดุงานบ้านงานครัว</t>
  </si>
  <si>
    <t xml:space="preserve">     274   วัสดุก่อสร้าง</t>
  </si>
  <si>
    <t xml:space="preserve">     276   วัสดุเชื้อเพลิงและหล่อลื่น</t>
  </si>
  <si>
    <t xml:space="preserve">     277   วัสดุวิทยาศาสตร์หรือการแพทย์</t>
  </si>
  <si>
    <t xml:space="preserve">     278   วัสดุการเกษตร</t>
  </si>
  <si>
    <t xml:space="preserve">     279   วัสดุโฆษณาและเผยแพร่</t>
  </si>
  <si>
    <t xml:space="preserve">     280   วัสดุเครื่องแต่งกาย</t>
  </si>
  <si>
    <t xml:space="preserve">     281   วัสดุกีฬา</t>
  </si>
  <si>
    <t xml:space="preserve">     282   วัสดุคอมพิวเตอร์</t>
  </si>
  <si>
    <t xml:space="preserve">     301   ค่าไฟฟ้า</t>
  </si>
  <si>
    <t xml:space="preserve">     302    ค่าน้ำประปา</t>
  </si>
  <si>
    <t xml:space="preserve">     303    ค่าโทรศัพท์</t>
  </si>
  <si>
    <t xml:space="preserve">     304   ค่าไปรษณีย์</t>
  </si>
  <si>
    <t xml:space="preserve">     402    เงินอุดหนุนองค์กรปกครองส่วนท้องถิ่นอื่น</t>
  </si>
  <si>
    <t xml:space="preserve">     403    เงินอุดหนุนส่วนราชการ เอกชนหรือ</t>
  </si>
  <si>
    <t xml:space="preserve">                กิจการอันเป็นสาธารณประโยชน์</t>
  </si>
  <si>
    <t xml:space="preserve">  - 3 -</t>
  </si>
  <si>
    <t>9.  ค่าครุภัณฑ์   450</t>
  </si>
  <si>
    <t xml:space="preserve">     451    สำนักงาน</t>
  </si>
  <si>
    <t xml:space="preserve">     452     การศึกษา</t>
  </si>
  <si>
    <t xml:space="preserve">     453     ยานพาหนะและขนส่ง</t>
  </si>
  <si>
    <t xml:space="preserve">     454     การเกษตร</t>
  </si>
  <si>
    <t xml:space="preserve">     455     ก่อสร้าง</t>
  </si>
  <si>
    <t xml:space="preserve">     456     ไฟฟ้าและวิทยุ</t>
  </si>
  <si>
    <t xml:space="preserve">     457     โฆษณาและเผยแพร่</t>
  </si>
  <si>
    <t xml:space="preserve">     458     วิทยาศาสตร์หรือการแพทย์</t>
  </si>
  <si>
    <t xml:space="preserve">     459     งานบ้านงานครัว</t>
  </si>
  <si>
    <t xml:space="preserve">     461     เครื่องดับเพลิง</t>
  </si>
  <si>
    <t>10.  ที่ดินและสิ่งก่อสร้าง      500</t>
  </si>
  <si>
    <t>11. รายจ่ายอื่น ๆ       550</t>
  </si>
  <si>
    <t>12.  งบกลาง       000</t>
  </si>
  <si>
    <t xml:space="preserve">     002     รายจ่ายตามข้อผูกพัน</t>
  </si>
  <si>
    <t xml:space="preserve">     003     เงินสบทบ ก.บ.ท.</t>
  </si>
  <si>
    <t xml:space="preserve">     004     เงินสำรองจ่าย</t>
  </si>
  <si>
    <t>1.  เงินเดือน  100  (ยอดยกมา)</t>
  </si>
  <si>
    <t>3.  ค่าจ้างชั่วคราว 130  (ยอดยกมา)</t>
  </si>
  <si>
    <t>4.  ค่าตอบแทน  200   (ยอดยกมา)</t>
  </si>
  <si>
    <t>5.  ค่าใช้สอย    250  (ยอดยกมา)</t>
  </si>
  <si>
    <t>6.  ค่าวัสดุ      270  (ยอดยกมา)</t>
  </si>
  <si>
    <t>7.  ค่าสาธารณูปโภค     300  (ยอดยกมา)</t>
  </si>
  <si>
    <t>และเงินยืมต่าง ๆ</t>
  </si>
  <si>
    <t xml:space="preserve">     107  ฝ่ายการเมือง</t>
  </si>
  <si>
    <t>8.  เงินอุดหนุน     400  (ยอดยกมา)</t>
  </si>
  <si>
    <t>เลขที่บัญชี  504-023040-0</t>
  </si>
  <si>
    <t>ธนาคาร กรุงไทย   สาขา เชียงราย</t>
  </si>
  <si>
    <t>00320</t>
  </si>
  <si>
    <t>00322</t>
  </si>
  <si>
    <t xml:space="preserve">เงินฝากระหว่างทาง </t>
  </si>
  <si>
    <t xml:space="preserve">     005     เบี้ยยังชีพ</t>
  </si>
  <si>
    <t>เลขที่บัญชี  001-2-62433-8</t>
  </si>
  <si>
    <t>รายการที่โอนเข้าบัญชี  ยังไม่ทราบว่าเป็นรายรับ</t>
  </si>
  <si>
    <t xml:space="preserve">     275   วัสดุยานพาหนะและขนส่ง</t>
  </si>
  <si>
    <t>ทุนสำรองเงินสะสม</t>
  </si>
  <si>
    <t>เงินรับฝาก  สถานีสูบน้ำด้วยไฟฟ้า</t>
  </si>
  <si>
    <t xml:space="preserve">      283  วัสดุศึกษา</t>
  </si>
  <si>
    <t xml:space="preserve">    283  วัสดุอื่น</t>
  </si>
  <si>
    <t>553  ค่าจ้างที่ปรึกษาฯ</t>
  </si>
  <si>
    <t>เพื่อใช้ในกรณีฉุกเฉิน,สิทธิประโยชน์ผู้บริหาร สมาชิกอบต. พนักงาน ลูกจ้าง</t>
  </si>
  <si>
    <t>110100</t>
  </si>
  <si>
    <t>120100</t>
  </si>
  <si>
    <t>110203</t>
  </si>
  <si>
    <t>110201</t>
  </si>
  <si>
    <t>110202</t>
  </si>
  <si>
    <t>6510000</t>
  </si>
  <si>
    <t>5520000</t>
  </si>
  <si>
    <t>5220600</t>
  </si>
  <si>
    <t>622600</t>
  </si>
  <si>
    <t>5531000</t>
  </si>
  <si>
    <t>5532000</t>
  </si>
  <si>
    <t>5533000</t>
  </si>
  <si>
    <t>5534000</t>
  </si>
  <si>
    <t>110300</t>
  </si>
  <si>
    <t>300000</t>
  </si>
  <si>
    <t>320000</t>
  </si>
  <si>
    <t>รายจ่ายที่ก่อหนี้ผูกพันไว้ในปีงบประมาณ  2552 (ข้อ 57)</t>
  </si>
  <si>
    <t>รายจ่ายรอจ่าย</t>
  </si>
  <si>
    <t>ค่าตอบแทนผู้ปฏิบัติราชการอันเป็นประโยชน์แก่ อปท.(เงินโบนัส)</t>
  </si>
  <si>
    <t xml:space="preserve">  </t>
  </si>
  <si>
    <t>554  การบริการสถานศึกษาสนับสนุนค่าใช้จ่าย</t>
  </si>
  <si>
    <t xml:space="preserve"> 555  โครงการผลิตกระดาษเยื่อสบู่ดำฯ</t>
  </si>
  <si>
    <t>เลขที่บัญชี  001-4-10325-7</t>
  </si>
  <si>
    <t>รายได้ไม่ทราบแหล่งที่มา</t>
  </si>
  <si>
    <t xml:space="preserve"> 556  รายจ่ายอื่น</t>
  </si>
  <si>
    <t>ใบผ่านรายการบัญชีมาตรฐาน 2</t>
  </si>
  <si>
    <t>ฝ่าย     การเงินและบัญชี    อบต.ท่าสาย</t>
  </si>
  <si>
    <t>เดบิท</t>
  </si>
  <si>
    <t>ลูกหนี้ - เงินยืมงบประมาณ</t>
  </si>
  <si>
    <t xml:space="preserve">เงินรับฝาก - เงินสวัสดิการฯ ธ.กรุงไทย </t>
  </si>
  <si>
    <t>เงินรับฝาก - เงินสวัสดิการฯ ธอส.</t>
  </si>
  <si>
    <t>เงินรับฝาก - ค่าหุ้นสหกรณ์กรมส่งเสริมฯ</t>
  </si>
  <si>
    <t>ผู้จัดทำ                                       ผู้อนุมัติ                                                    ผู้บันทึกบัญชี</t>
  </si>
  <si>
    <t>เงินรับฝาก - เงินสวัสดิการฯ ธกส.</t>
  </si>
  <si>
    <t>ใบผ่านรายการบัญชีทั่วไป</t>
  </si>
  <si>
    <r>
      <t>คำอธิบาย</t>
    </r>
    <r>
      <rPr>
        <sz val="15"/>
        <rFont val="Angsana New"/>
        <family val="1"/>
      </rPr>
      <t xml:space="preserve">   </t>
    </r>
  </si>
  <si>
    <t xml:space="preserve">       ผู้จัดทำ                                                           ผู้อนุมัติ                                                               ผู้บันทึกบัญชี</t>
  </si>
  <si>
    <t>5000</t>
  </si>
  <si>
    <t>6000</t>
  </si>
  <si>
    <t>5100</t>
  </si>
  <si>
    <t>6250</t>
  </si>
  <si>
    <t>704</t>
  </si>
  <si>
    <t>หัก  เช็คฝากระหว่างทาง</t>
  </si>
  <si>
    <t xml:space="preserve">ภาษีหัก ณ ที่จ่าย </t>
  </si>
  <si>
    <t>ค้าจ้าง</t>
  </si>
  <si>
    <t>เงินรับฝาก - ภาษีหัก ณ ที่จ่าย</t>
  </si>
  <si>
    <t>โครงการต่อเติมอาคารจอดรถ</t>
  </si>
  <si>
    <t>โครงการห้องน้ำสาธารณะ</t>
  </si>
  <si>
    <t>เลขที่บัญชี 001-5-00135-1 เพื่อจ่ายเช็คต่าง ๆ ประจำเดือน   กรกฎาคม  2553</t>
  </si>
  <si>
    <t>ลูกหนี้ - เงินยืมสะสม</t>
  </si>
  <si>
    <t xml:space="preserve"> (หมายเหตุ  2 )</t>
  </si>
  <si>
    <t>5250</t>
  </si>
  <si>
    <t>5130</t>
  </si>
  <si>
    <t xml:space="preserve"> บัญชีเงินฝาก เลขที่บัญชี  001-5-00135-1</t>
  </si>
  <si>
    <t>เงินฝาก ธกส.ออมทรัพย์ 001-2-50657-8</t>
  </si>
  <si>
    <t xml:space="preserve"> วันที่.....  30  กันยายน  2553.........</t>
  </si>
  <si>
    <t>ปรับปรุงบัญชีเงินสดฝากธกส. ออมทรัพย์ 001-2-50657-8  โดยไม่ได้ผ่านใบนำส่งเงิน</t>
  </si>
  <si>
    <t>เงินรับฝาก- คืนเงืนเล่าเรียนระดับปริญญาโท</t>
  </si>
  <si>
    <t>คืนทุนเล่าเรียนระดับปริญญาโท ของ  นายชัยทัต  เรือนแก้ว  ประจำ เดือน  กันยายน  2553</t>
  </si>
  <si>
    <t>เลขที่................................/2552...........</t>
  </si>
  <si>
    <t xml:space="preserve"> วันที่..... 30     กันยายน     2552..........</t>
  </si>
  <si>
    <t>700</t>
  </si>
  <si>
    <r>
      <t>คำอธิบาย</t>
    </r>
    <r>
      <rPr>
        <sz val="16"/>
        <rFont val="Angsana New"/>
        <family val="1"/>
      </rPr>
      <t xml:space="preserve">   </t>
    </r>
  </si>
  <si>
    <t>ปรับปรุงรายได้ค้างรับ ( บัญชีลูกหนี้ภาษีค้างชำระ )  ประจำปีงบประมาณ พ.ศ.  2551</t>
  </si>
  <si>
    <t>บันทึกบัญชีลูกหนี้ภาษีค้างชำระปี  2552</t>
  </si>
  <si>
    <t>5200</t>
  </si>
  <si>
    <t>5270</t>
  </si>
  <si>
    <t>6270</t>
  </si>
  <si>
    <t xml:space="preserve">รายจ่ายค้างจ่าย </t>
  </si>
  <si>
    <t>ปิดบัญชีค่าใช้จ่ายที่ก่อหนี้ผูกพันแล้ว แต่ไม่สามารถเบิกจ่ายได้ทันในปีงบประมาณตามระเบียบฯ</t>
  </si>
  <si>
    <t xml:space="preserve">การกันเงินข้อ 57  และค่าใช้จ่ายรอจ่าย  ตามหนังสือกรมส่งเสริมการปกครองท้องถิ่น ด่วนมาก  </t>
  </si>
  <si>
    <t>ที่ มท. 0808.4/ว.1934  ลงวันที่  27  กันยายน  2548  เรื่อง ซักซ้อมแนวทางการปฏิบัติเกี่ยวกับการบันทึกบัญชี</t>
  </si>
  <si>
    <t>ขององค์กรปกครองส่วนท้องถิ่น</t>
  </si>
  <si>
    <t xml:space="preserve">ปิดบัญชีรายรับ - รายจ่าย เข้าบัญชีทุนสำรองเงินสะสม และบัญชีเงินสะสม </t>
  </si>
  <si>
    <t>( 25,564,197.35 - 22,095,429.65 = 3,468,767.70 )  , (3,468,767.70  x 25%  =  867,191.93  )</t>
  </si>
  <si>
    <t>30</t>
  </si>
  <si>
    <t>ปรับปรุงบัญชีค่าใช้สอย (6250) เป็นค่าใช้สอย (5250) เนื่องจากลงบัญชีผิด</t>
  </si>
  <si>
    <t>เงินรับฝาก-ภาษีบำรุงท้องที่</t>
  </si>
  <si>
    <t>เงินรับฝาก-ภาษีหัก ณ ที่จ่าย</t>
  </si>
  <si>
    <t>ปรับปรุงบัญชีเงินรับฝาก-ภาษีบำรุงท้องที่เป็นเงินรับฝาก-ภาษีหัก ณ ที่จ่าย</t>
  </si>
  <si>
    <t>โครงการซื้อรถน้ำ</t>
  </si>
  <si>
    <t>งบทดลอง</t>
  </si>
  <si>
    <t xml:space="preserve">ลูกหนี้เงินยืมงบประมาณ   ( หมายเหตุ 1 )      </t>
  </si>
  <si>
    <t>เงินรับฝาก  เงินอุดหนุนเฉพาะกิจ</t>
  </si>
  <si>
    <t xml:space="preserve">เงินสะสม                                </t>
  </si>
  <si>
    <t>เงินรับฝาก -สถานีสูบน้ำด้วยไฟฟ้า</t>
  </si>
  <si>
    <t>00321</t>
  </si>
  <si>
    <t>วันที่..           ตุลาคม    2553........</t>
  </si>
  <si>
    <t>เลขที่.........1.........../2555...........</t>
  </si>
  <si>
    <t xml:space="preserve">          ตำแหน่ง     นักวิชาการคลัง                                                                   ตำแหน่ง   หัวหน้าส่วนการคลัง</t>
  </si>
  <si>
    <t>รายงานยอดเงินสะสมที่นำไปใช้ได้คงเหลือ ณ  วันที่   31  ตุลาคม  2554</t>
  </si>
  <si>
    <t>ยอดเงินสะสม ณ วันที่  31  ตุลาคม  2554</t>
  </si>
  <si>
    <t>ยอดเงินสดและเงินฝากธนาคาร ณ วันที่  31  ตุลาคม  2554</t>
  </si>
  <si>
    <t>เงินฝาก ธกส.  ออมทรัพย์ 001-8-09841-8</t>
  </si>
  <si>
    <t>ใบผ่านรายการบัญชีมาตรฐาน 1</t>
  </si>
  <si>
    <t>บัญชี 001-2-50657-8</t>
  </si>
  <si>
    <t>บัญชี 539-6-01276-5</t>
  </si>
  <si>
    <t>บัญชี 001-4-10325-7</t>
  </si>
  <si>
    <t>บัญชี 001-2-62433-8</t>
  </si>
  <si>
    <t>เงินรับฝาก- 5%</t>
  </si>
  <si>
    <t>เงินรับฝาก-ค่าใช้จ่าย  6%</t>
  </si>
  <si>
    <t>เงินรับฝาก-เงินค้ำประกันสัญญา</t>
  </si>
  <si>
    <t>เงินรับฝาก-เงินกู้เศรษฐกิขชุมชน</t>
  </si>
  <si>
    <t>ใบผ่านรายการบัญชีมาตรฐาน  3</t>
  </si>
  <si>
    <t>ภาษีบำรุงท้องที่</t>
  </si>
  <si>
    <t>ค่าธน เกี่ยวกับควบคุมอาคาร</t>
  </si>
  <si>
    <t>ค่าธน.เก็บขนขยะมูลฝอย</t>
  </si>
  <si>
    <t>ค่าใบอนุญาตเกี่ยวกับควบคุมอาคาร</t>
  </si>
  <si>
    <t>ค่าปรับอื่น ๆ</t>
  </si>
  <si>
    <t>ค่าขายแบบแปลน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</si>
  <si>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</si>
  <si>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</si>
  <si>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</si>
  <si>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</si>
  <si>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</si>
  <si>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บัญชี 001-8-09841-8</t>
  </si>
  <si>
    <t>เงินรายรับ-เงินอุดหนุนเฉพาะกิจ</t>
  </si>
  <si>
    <t>(เบี้ยยังชีพพิการและเบี้ยยังชีพผู้สูงอายุ)</t>
  </si>
  <si>
    <t>เงินรับฝาก-ค้าจ้างประจำ(ลูกจ้างสถานีสูบน้ำฯ)</t>
  </si>
  <si>
    <t>เงินรับฝาก-ค่ารักษาพยาบาล(ลูกจ้างสถานีสูบน้ำฯ)</t>
  </si>
  <si>
    <t>เงินรับฝาก-เงินบำนาญฯ(นางอุไร  ศึกษากิจ)</t>
  </si>
  <si>
    <t>ลูหนี้-เงินสะสม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</si>
  <si>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พฤศจิกายน  2554</t>
    </r>
  </si>
  <si>
    <t>วันที่ 30 พฤศจิกายน  2554..</t>
  </si>
  <si>
    <t>วันที่ 31 ธันวาคม  2554..</t>
  </si>
  <si>
    <t>เลขที่.........01/11/2554...........</t>
  </si>
  <si>
    <t>วันที่ 31 มกราคม  2555..</t>
  </si>
  <si>
    <t>เลขที่...01/01/2555.........</t>
  </si>
  <si>
    <t>ลูหนี้-เงินยืมงบประมาณ</t>
  </si>
  <si>
    <t>เงินรับฝาก-ค่าไฟฟ้าสถานีสูบน้ำด้วยไฟฟ้าฯ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</si>
  <si>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ธันวาคม  2554</t>
    </r>
  </si>
  <si>
    <t>เลขที่...01/12/2555.........</t>
  </si>
  <si>
    <t>บัญชี 504-0-23040-0</t>
  </si>
  <si>
    <t>(โครงการก่อสร้างถนนลาดยางฯ)</t>
  </si>
  <si>
    <t>ลูหนี้-เงินยืมสะสม</t>
  </si>
  <si>
    <t>เงินรับฝาก-รถรับส่งนักเรียน</t>
  </si>
  <si>
    <t>เงินรับฝาก-เงินกู้เศรษฐกิจชุมชน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</si>
  <si>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มกราคม  2555</t>
    </r>
  </si>
  <si>
    <t xml:space="preserve">               ผู้จัดทำ                                                ผู้อนุมัติ                                                      ผู้บันทึกบัญชี</t>
  </si>
  <si>
    <t>เงินรับฝาก  รถรับส่งนักเรียน (ศูนย์พัฒนาเด็กฯ)</t>
  </si>
  <si>
    <t>เงินรับฝาก -ค่าจ้างผดดและประกันสังคม</t>
  </si>
  <si>
    <t>วันที่…30  พฤศจิกายน   2554.....</t>
  </si>
  <si>
    <t>เลขที่..............02/11/2555..............</t>
  </si>
  <si>
    <t>ภาษีป้าย</t>
  </si>
  <si>
    <t>ค่าธน.จดทะเบียนพาณิชย์และยกเลิก</t>
  </si>
  <si>
    <t>ค่าไฟฟ้า</t>
  </si>
  <si>
    <t>ค่าน้ำ</t>
  </si>
  <si>
    <t>เงินอุดหนุนทั่วไป</t>
  </si>
  <si>
    <t>6130</t>
  </si>
  <si>
    <t>เงินรับฝาก - รถรับส่งนักเรียน</t>
  </si>
  <si>
    <t>เงินรับฝาก - ค่าจ้างประจำ(สถานีสูบน้ำด้วยไฟฟ้า)</t>
  </si>
  <si>
    <t>เงินรับฝาก - ค่ารักษาพยาบาล(สถานีสูบน้ำด้วยไฟฟ้า)</t>
  </si>
  <si>
    <t>เงินรับฝาก - เงินบำนาญ (นางอุไร  ศึกษากิจ)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</si>
  <si>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พฤศจิกายน    2554</t>
    </r>
  </si>
  <si>
    <t>ค่าธน.ใบอนุญาตฯสถานที่จำหน่ายสะสมอาหาร</t>
  </si>
  <si>
    <t>ค่าธน.ใบอนุญาตฯสถานที่จำหน่ายที่ทางสาธารณะ</t>
  </si>
  <si>
    <t>ค่าธน.ปิดโอนมรดก</t>
  </si>
  <si>
    <t>รายได้อื่น</t>
  </si>
  <si>
    <t>หน่วยการแพทย์ฉุกเฉิน</t>
  </si>
  <si>
    <t>ภาษีมูลค่าเพิ่มตามพรบ</t>
  </si>
  <si>
    <t>ค่าภาคหลวงปิโตรเลี่ยม</t>
  </si>
  <si>
    <t>ค่าธน.จดทะเบียนสิทธิและนิติกรฯ</t>
  </si>
  <si>
    <t>เบี้ยยังชีพพิการ</t>
  </si>
  <si>
    <t>เบี้ยยังชีพผู้สูงอายุ</t>
  </si>
  <si>
    <t>เลขที่...........03/11/2554........</t>
  </si>
  <si>
    <t>วันที่  30  พฤศจิกายน  2554.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</si>
  <si>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 พฤศจิกายน  2554</t>
    </r>
  </si>
  <si>
    <t>วันที่  31  ธันวาคม   2554.</t>
  </si>
  <si>
    <t>เลขที่........03/12/2554........</t>
  </si>
  <si>
    <t>ดอกเบี้ยเงินฝากธนาคาร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</si>
  <si>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ธันวาคม  2554</t>
    </r>
  </si>
  <si>
    <t>วันที่  31  มกราคม   2555.</t>
  </si>
  <si>
    <t>เลขที่.......03/01/2555........</t>
  </si>
  <si>
    <t>ภาษีโรงเรือนและที่ดิน</t>
  </si>
  <si>
    <t>ภาษีบำรงท้องที่</t>
  </si>
  <si>
    <t>ค่าธน.ใบอนุญาตฯ(กิจการเป็นอันตรายต่อสุขภาพ)</t>
  </si>
  <si>
    <t>โครงการก่อสร้างถนนลาดยาง</t>
  </si>
  <si>
    <t>เงินรายรับ-โครงการก่อสร้างถนนลาดยาง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</si>
  <si>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มกราคม  2555</t>
    </r>
  </si>
  <si>
    <t xml:space="preserve">  ผู้จัดทำ                                                    ผู้อนุมัติ                                                                    ผู้บันทึกบัญชี</t>
  </si>
  <si>
    <t>เลขที่..............02/12/2555..............</t>
  </si>
  <si>
    <t>วันที่…31  ธันวาคม   2554.....</t>
  </si>
  <si>
    <t>เงินรับฝาก -เงินค้ำประกันสัญญา</t>
  </si>
  <si>
    <t xml:space="preserve">     006     บำเหน็จ</t>
  </si>
  <si>
    <t>( หมายเหตุ 3  )</t>
  </si>
  <si>
    <t>(  หมายเหตุ  4  )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</si>
  <si>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ธันวาคม    2554</t>
    </r>
  </si>
  <si>
    <t>เลขที่..............02/01/2555..............</t>
  </si>
  <si>
    <t>วันที่…31  มกราคม   2555.....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</si>
  <si>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มกราคม    2555</t>
    </r>
  </si>
  <si>
    <t>วันที่..  1  ตุลาคม      2555........</t>
  </si>
  <si>
    <t>เงินฝาก ธกส.ออมทรัพย์ 0001-8-9841-8</t>
  </si>
  <si>
    <t xml:space="preserve">รายได้ค้างรับ    </t>
  </si>
  <si>
    <t xml:space="preserve">รายจ่ายรอจ่าย     </t>
  </si>
  <si>
    <t xml:space="preserve">เงินรับฝาก </t>
  </si>
  <si>
    <t>บันทึกรายการบัญชีต่าง ๆ ยกมา  หลังจากปิดบัญชีงบประมาณ  2555</t>
  </si>
  <si>
    <t>เลขที่.........2........../2555...........</t>
  </si>
  <si>
    <t xml:space="preserve">ปรับปรุงบัญชีรายได้ค้างรับเนื่องจากยกฐานะเป็นเทศบาลจะคิด 89 % เหมือน อบต. ไม่ได้ซึ่งจะต้องต้องคิด 95 % </t>
  </si>
  <si>
    <t>เลขที่.........3........../2555...........</t>
  </si>
  <si>
    <t xml:space="preserve">ปรับปรุงบัญชีรายได้ค้างรับเนื่องจากยกฐานะเป็นเทศบาลคิด  95 % </t>
  </si>
  <si>
    <t>เลขที่.........4........../2555...........</t>
  </si>
  <si>
    <t>ส่วนลดในการจัดเก็บภาษีบำรุงท้องที่ 6 %</t>
  </si>
  <si>
    <t>ปรับปรุงบัญชีส่วนลดในการจัดเก็บภาษีบำรุงท้องที่ 6 %  เข้าเงินสะสม</t>
  </si>
  <si>
    <t>ฝ่าย     การเงินและบัญชี    ทต.ท่าสาย</t>
  </si>
  <si>
    <t>หัก  เงินโอนเข้าไม่ทราบแหล่งที่มา</t>
  </si>
  <si>
    <t xml:space="preserve">          ตำแหน่ง     นักวิชาการคลัง                                                                   ตำแหน่ง   ผู้อำนวยการกองคลัง</t>
  </si>
  <si>
    <t>6533000</t>
  </si>
  <si>
    <t>เงินสมทบประกันสังคม</t>
  </si>
  <si>
    <t>ค่าใช้สอย (ค่าตรวสอบคุณภาพน้ำ)</t>
  </si>
  <si>
    <t>โครงการจ้างเหมาปรับปรุงต่อเติมศูนย์พัฒนาเด็กติดตั้งรางรินและท่อระบายน้ำ</t>
  </si>
  <si>
    <t>โครงการจ้างเหมาปรับปรุงต่อเติมศูนย์พัฒนาเด็กเททางเดิน</t>
  </si>
  <si>
    <t>โครงการก่อสร้างถนน คสล. ม.8</t>
  </si>
  <si>
    <t>โครงการก่อสร้างถนน คสล. ม.11</t>
  </si>
  <si>
    <t>โครงการก่อสร้างถนน คสล. ม.10</t>
  </si>
  <si>
    <t>โครงการก่อสร้างถนน คสล. ม.7</t>
  </si>
  <si>
    <t>โครงการก่อสร้างถนน คสล. ม.1</t>
  </si>
  <si>
    <t>โครงการก่อสร้างอาคารอเนกประสงค์ ม.5</t>
  </si>
  <si>
    <t>เงินรับฝาก  ภาษีโรงเรือนและที่ดิน</t>
  </si>
  <si>
    <t>เงินรับฝาก  ภาษีป้าย</t>
  </si>
  <si>
    <t>เงินรับฝาก  เงินรับฝากอุดหนุนเฉพาะกิจ</t>
  </si>
  <si>
    <t>เงินรับฝาก  การบริหารจัดการที่ดิ (รางวัล)</t>
  </si>
  <si>
    <t>เงินรับฝาก  การจัดเก็บรายได้ (รางวัล)</t>
  </si>
  <si>
    <t>(ค่าจ้างผดด.)</t>
  </si>
  <si>
    <t>(เบี้ยยังชีพผู้สูงอายุ  55)</t>
  </si>
  <si>
    <t>เงินรับฝาก เงินรางวัลสภาวิศวกร</t>
  </si>
  <si>
    <t>เทศบาลตำบลท่าสาย</t>
  </si>
  <si>
    <t>รับเงินคืนกลุ่มคัดแยกขยะ ม.9</t>
  </si>
  <si>
    <t>รับเงินคืนกลุ่มคัดแยกขยะ ม.6</t>
  </si>
  <si>
    <t>ปรับปรุงส่วนลดภาษีบำรุงท้องที่ 6%</t>
  </si>
  <si>
    <t>ปรับปรุงรายได้ค้างรับ</t>
  </si>
  <si>
    <t>รับเงินคืนกลุ่มปุ๋ยอินทรีย์ ม.6</t>
  </si>
  <si>
    <t>ปรับปรุงภาษีหัก ณ ที่จ่าย</t>
  </si>
  <si>
    <t>เลขที่.........5........../2555...........</t>
  </si>
  <si>
    <t>เงินรับฝาก - ภาษีหักณที่จ่าย(โครงการ 25 ตาสัปรด)</t>
  </si>
  <si>
    <t>ปรับปรุงบัญชีเงินรับฝากภาษีหัก ณ ที่จ่ายโครงการ 25 ตาสัปรด เช้าเงินสะสม เนื่องจากลงบัญชีผิด</t>
  </si>
  <si>
    <t xml:space="preserve">         เทศบาลตำบลท่าสาย</t>
  </si>
  <si>
    <t>284 อาหารเสรม(นม)</t>
  </si>
  <si>
    <t>ค่าปิดโอนมรด</t>
  </si>
  <si>
    <t>เงินรับรายรับ -ค่าตอบแทนบุคลากรถ่ายโอน(นางอุไร)</t>
  </si>
  <si>
    <t>เงินอุดหนุนเฉพาะกิจ</t>
  </si>
  <si>
    <t>(  หมายเหตุ  5  )</t>
  </si>
  <si>
    <t>รายจ่ายจากเงินอุดหนุนเฉพาะกิจ</t>
  </si>
  <si>
    <t>เบี้ยยังชีพผู้พิการ</t>
  </si>
  <si>
    <t>จ่ายเบี้ยยังชีพผู้สูงอายุ</t>
  </si>
  <si>
    <t>จ่ายเบี้ยยังชีพผู้พิการ</t>
  </si>
  <si>
    <t>เงินเดือน/ค่าจ้าง/สมทบประกันสังคม</t>
  </si>
  <si>
    <t>ค่าตอบแทนบุคลากรถ่ายโอน</t>
  </si>
  <si>
    <t>( หมายเหตุ 7  )</t>
  </si>
  <si>
    <t>ปีงบประมาณ 2556</t>
  </si>
  <si>
    <t>เงินรับฝาก - เงินค้ำประกันสัญญา</t>
  </si>
  <si>
    <t>เงินายรับ-อุดหนุนเฉพาะกิจ</t>
  </si>
  <si>
    <t>เงินรายรับ-เงินอุดหนุนเฉพาะกิจบุคลากรถ่ายโอน(นางอุไร)</t>
  </si>
  <si>
    <t>เงินบำนาญบุคลากรถ่ายโอน (นางอุไร)</t>
  </si>
  <si>
    <t>เงินรับฝาก-ภาษีโรงเรือนและที่ดิน</t>
  </si>
  <si>
    <t>นายสุริยนต์</t>
  </si>
  <si>
    <t>ผางคำ</t>
  </si>
  <si>
    <t>640000</t>
  </si>
  <si>
    <t>ค่าธน.จดทะเบียนนิติกรรมที่ดินฯ</t>
  </si>
  <si>
    <t>6534000</t>
  </si>
  <si>
    <t xml:space="preserve">     106  ค่าตอบแทนเลขานุการ/ที่ปรึกษานายก</t>
  </si>
  <si>
    <t>เลขที่............../2556...........</t>
  </si>
  <si>
    <t>เงินรายรับ-เงินอุดหนุนเฉพาะกิจโครงการซ่อมคันดินฯ</t>
  </si>
  <si>
    <t>เงินอุดหนุนพาะกิจโครงการซ่อมแซมคันดินฯ</t>
  </si>
  <si>
    <t>เลขที่......................./2556...........</t>
  </si>
  <si>
    <t xml:space="preserve"> วันที่..... 26  มีนาคม  2556.........</t>
  </si>
  <si>
    <t>39</t>
  </si>
  <si>
    <t>ภาษีหัก ณ ที่จ่าย</t>
  </si>
  <si>
    <t>ปรับปรุงบัญชีภาษีหัก ณ ที่จ่าย เงินโครงการปรับปรุงซ่อมแซมคันดินฯ</t>
  </si>
  <si>
    <t>เลขที่.............../2556......</t>
  </si>
  <si>
    <t>เลขที่................./2556.....</t>
  </si>
  <si>
    <t>เงินรับรายรับ -เงินเดือน/ค่าจ้างผดดและเงินสมทบประกันสังคม</t>
  </si>
  <si>
    <t>โครงการซ่อมคันดินฯ</t>
  </si>
  <si>
    <t>รายจ่ายค้างจ่าย      (หมายเหตุ 2)</t>
  </si>
  <si>
    <t>เงินสะสม                  (หมายเหตุ 3)</t>
  </si>
  <si>
    <t>เงินรายรับ-เงินอุดหนุนเฉพาะกิจ  (หมายเหตุ 4)</t>
  </si>
  <si>
    <t xml:space="preserve">เงินรับฝาก                           (หมายเหตุ 5)      </t>
  </si>
  <si>
    <t>รายจ่ายรอจ่าย                    (หมายเหตุ 6)</t>
  </si>
  <si>
    <t>ประจำเดือน  มีนาคม  2556</t>
  </si>
  <si>
    <t xml:space="preserve">     305   ค่าบริการทางด้านโทรคมนาคม</t>
  </si>
  <si>
    <t xml:space="preserve">     466     คอมพิวเตอร์</t>
  </si>
  <si>
    <t xml:space="preserve">     467     ค่าบำรุงรักษาและปรับปรุงครุภัณฑ์</t>
  </si>
  <si>
    <t xml:space="preserve">     465     ดนตรีและนาฏศิลป์</t>
  </si>
  <si>
    <t>ณ  วันที่   30  เมษายน  2556</t>
  </si>
  <si>
    <t>ประจำเดือน  เมษายน   2556</t>
  </si>
  <si>
    <t>ยอดคงเหลือตามรายงานธนาคาร  ณ  วันที่  30  เมษายน  2556</t>
  </si>
  <si>
    <t>ยอดคงเหลือตามบัญชี ณ วันที่    30  เมษายน  2556</t>
  </si>
  <si>
    <t xml:space="preserve"> วันที่   5  เมษายน   2556..</t>
  </si>
  <si>
    <t>เลขที่............./2556...........</t>
  </si>
  <si>
    <t>ค่าใช้สอย  (ค่าลงทะเบียน)</t>
  </si>
  <si>
    <t>ค่าใช้สอย  (ค่าใช้จ่ายในการเดิอนทางไปราชการ)</t>
  </si>
  <si>
    <t xml:space="preserve"> ส่งใช้เงินตามสัญญาเลขที่  34/2556  ของ จ.ส.อ.ปฏิเวช  ยานะนวล   เป็นเงินยืมตามดครงการอบรมสัมมนาทางวิชาการฯ</t>
  </si>
  <si>
    <t>ตามฎีกาส่งใช่เลขที่ ป.374-375/706-707</t>
  </si>
  <si>
    <t xml:space="preserve"> วันที่   9  เมษายน   2556..</t>
  </si>
  <si>
    <t xml:space="preserve"> ส่งใช้เงินตามสัญญาเลขที่  36/2556  ของ น.ส.กาญจนา  เทศสิงห์  เป็นเงินยืมตามโครงการบรรพชาสามเณรภาคฤดูร้อน</t>
  </si>
  <si>
    <t xml:space="preserve">  ประจำปี  2556   ตามฎีกาส่งใช่เลขที่  ศ.144/819  </t>
  </si>
  <si>
    <t xml:space="preserve"> วันที่  19  เมษายน   2556..</t>
  </si>
  <si>
    <t xml:space="preserve"> ส่งใช้เงินตามสัญญาเลขที่ 37/2556  ของ นายชัยยศ  หม่อมพกุล เป็นเงินยืมค่าลงทะเบียนอบรมเพื่อเพิ่มประสิมะภาพ</t>
  </si>
  <si>
    <t xml:space="preserve"> ผู้บริหารท้องถิ่นและพนักงานส่วนท้องถิ่นฯ   ตามฎีกาส่งใช่เลขที่  ป.403/765  </t>
  </si>
  <si>
    <t>เลขที่......01/04/2556.....</t>
  </si>
  <si>
    <t>วันที่  30  เมษายน  2556</t>
  </si>
  <si>
    <t>เงินรายรับ-เงินเดือนค่าจ้าง/สมทบประกันสังคมฯผดด</t>
  </si>
  <si>
    <t>เงินรับฝาก-เศรษฐกิจชุมชน</t>
  </si>
  <si>
    <t>เงินรายรับ-เงินอุดหนุนเฉพาะกิจเบี้ยยังชีพผู้สองอายุ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</si>
  <si>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เมษายน  2556</t>
    </r>
  </si>
  <si>
    <t>วันที่  30  เมษายน  2556.</t>
  </si>
  <si>
    <t>เลขที่.....03/04/2556........</t>
  </si>
  <si>
    <t>เงินรายรับ-เงินอุดหนุนเฉพาะกิจเบี้ยยยังชีพผู้อายุ</t>
  </si>
  <si>
    <t>ภาษีมูลค่าเพิ่มตามพรบฯ</t>
  </si>
  <si>
    <t>ค่าภาคหลวงปิโตรเลียม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</si>
  <si>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  เมษายน  2556</t>
    </r>
  </si>
  <si>
    <t>26/2556</t>
  </si>
  <si>
    <t>(1 เม.ย.56)</t>
  </si>
  <si>
    <t>นางทัชชกร</t>
  </si>
  <si>
    <t>สุวรรณจักร</t>
  </si>
  <si>
    <t>เป็นเงินยืมเบี้ยยังชีพ</t>
  </si>
  <si>
    <t>- เบี้ยยังชีพผู้ป่วยโรคเอดส์                  32,500.00    บาท</t>
  </si>
  <si>
    <t>- เบี้ยยังชีพผู้พิการ                                79,500.00    บาท</t>
  </si>
  <si>
    <t>- เบี้ยยังชีพผู้สูงอายุ                           626,100.00    บาท</t>
  </si>
  <si>
    <t>27/2556</t>
  </si>
  <si>
    <t>(19 เม.ย.56)</t>
  </si>
  <si>
    <t>น.ส.กิตติวรรณ</t>
  </si>
  <si>
    <t>บัณฑิต</t>
  </si>
  <si>
    <t>28/2556</t>
  </si>
  <si>
    <t>น.ส.ยุพิน</t>
  </si>
  <si>
    <t>ศาลารักษ์</t>
  </si>
  <si>
    <t>เป็นเงินยืมเงินเดือนและเงินเพิ่ม เดือน เมษายน  2556</t>
  </si>
  <si>
    <t>29/2556</t>
  </si>
  <si>
    <t>น.ส.สายฝน</t>
  </si>
  <si>
    <t>คำดี</t>
  </si>
  <si>
    <t>เป็นเงินยืมค่าจ้าง,เงินเพิ่ม ผดด. เดือน เมษายน  2556</t>
  </si>
  <si>
    <t>30/2556</t>
  </si>
  <si>
    <t>นางเพ็ญนภา</t>
  </si>
  <si>
    <t>จุมปาดี</t>
  </si>
  <si>
    <t>31/2556</t>
  </si>
  <si>
    <t>32/2556</t>
  </si>
  <si>
    <t>(     เม.ย.56)</t>
  </si>
  <si>
    <t>เป็นเงินยืมเงินสมทบประกันสังคม เดือน เมษายน  2556</t>
  </si>
  <si>
    <t>เป็นเงินยืมค่าจ้างประจำ เดือน เมษายน  2556</t>
  </si>
  <si>
    <t>38/2556</t>
  </si>
  <si>
    <t>(  9 เม.ย.  2556 )</t>
  </si>
  <si>
    <t>นายอนันต์ชัย</t>
  </si>
  <si>
    <t>วงค์ชัยคำ</t>
  </si>
  <si>
    <t xml:space="preserve">เป็นเงินยืมตามโครงการรณรงค์ร่วมใจลดอุบัติเหตุทางถนนช่วงเทศกาลสงกรานต์   </t>
  </si>
  <si>
    <t>ประจำปี  2556</t>
  </si>
  <si>
    <t>39/2556</t>
  </si>
  <si>
    <t>นางรัฐติกาล</t>
  </si>
  <si>
    <t>พรมเสน</t>
  </si>
  <si>
    <t>ค่าตอบแทนการแสดงโครงการจัดกิจกรรมผู้สูงอายุแห่งชาติ  ประจำปี  2556</t>
  </si>
  <si>
    <t>40/2556</t>
  </si>
  <si>
    <t xml:space="preserve">นายธนิสร </t>
  </si>
  <si>
    <t>สุวรรณพรม</t>
  </si>
  <si>
    <t>ค่าใช้จ่ายในการเดินทางอบรมโปรแกรมแผนที่ภาษีและทะเบียนทรัพย์สินฯ</t>
  </si>
  <si>
    <t>41/2556</t>
  </si>
  <si>
    <t>(      เม.ย.  2556 )</t>
  </si>
  <si>
    <t xml:space="preserve">นายชัยยศ </t>
  </si>
  <si>
    <t>หม่อมพกุล</t>
  </si>
  <si>
    <t>ค่าลงทะเบียนฝึกอบรมสัมมนาบุคลากรท้องหลักสูตรนายกเทศมนตรี รุ่นที่  29</t>
  </si>
  <si>
    <t xml:space="preserve">ลูกหนี้เงินยืมสะสม   ( หมายเหตุ 2 )      </t>
  </si>
  <si>
    <t>( 17 เม.ย. 2556 )</t>
  </si>
  <si>
    <t xml:space="preserve"> วันที่.....    เมษายน  2556.........</t>
  </si>
  <si>
    <t>เลขที่...................../2556...........</t>
  </si>
  <si>
    <t>ปรับปรุงบัญชีเนื่องจากเขียนเช็ดผิด เช็คเลขที่ 9248498 ของนายสมศักดิ์  กันแก้ว ยอด 9,435.00 บาท แต่ในฎีกาเบิกจ่ายเงิน</t>
  </si>
  <si>
    <t>มียอด 6,435.00  บาท และเช็คฉบับนี้ได้นำไปขึ้นเงินเรียบร้อแล้วในจำนวน 9,435.00  บาท</t>
  </si>
  <si>
    <t>เลขที่......02/04/2556.......</t>
  </si>
  <si>
    <t>เงินรายรับ-เงินอุดหนุนเฉพาะกิจเบี้ยยังชีพผู้สูงอายุ</t>
  </si>
  <si>
    <t>เงินรับฝาก - ภาษีหัก ณ ที่จ่าย(โครงการซ่อมคันดินฯ)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</si>
  <si>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เมษายน    2556</t>
    </r>
  </si>
  <si>
    <t>18</t>
  </si>
  <si>
    <t>เลขที่บัญชี 001-5-00135-1 เพื่อจ่ายเช็คต่าง ๆ ประจำเดือน  เมษายน  2556</t>
  </si>
  <si>
    <t>วันที่        เมษายน   2556</t>
  </si>
  <si>
    <t>89</t>
  </si>
  <si>
    <t>9248464</t>
  </si>
  <si>
    <t>9248485</t>
  </si>
  <si>
    <t>9248520</t>
  </si>
  <si>
    <t>9248531</t>
  </si>
  <si>
    <t>9248535</t>
  </si>
  <si>
    <t>9248537</t>
  </si>
  <si>
    <t>9248538</t>
  </si>
  <si>
    <t>9248539</t>
  </si>
  <si>
    <t>9248540</t>
  </si>
  <si>
    <t>1   เมษายน  2556</t>
  </si>
  <si>
    <t>4   เมษายน  2556</t>
  </si>
  <si>
    <t>19  เมษายน  2556</t>
  </si>
  <si>
    <t>25  เมษายน  2556</t>
  </si>
  <si>
    <t>26  เมษายน  2556</t>
  </si>
  <si>
    <t>29  เมษายน  2556</t>
  </si>
  <si>
    <t>เงินฝากระหว่างทาง (ค่าธรรมเนียมเช็คเคลียร์ลิ่ง)</t>
  </si>
  <si>
    <t>จ่ายโครงการซ่อมคันดินฯ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</si>
</sst>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  <numFmt numFmtId="223" formatCode="[$-409]dddd\,\ mmmm\ dd\,\ yyyy"/>
    <numFmt numFmtId="224" formatCode="[$-409]h:mm:ss\ AM/PM"/>
    <numFmt numFmtId="225" formatCode="[$-101041E]d\ mmm\ yy;@"/>
    <numFmt numFmtId="226" formatCode="\-"/>
    <numFmt numFmtId="227" formatCode="\ "/>
    <numFmt numFmtId="228" formatCode="#,##0.00;[Red]#,##0.00"/>
    <numFmt numFmtId="229" formatCode="0.0000000000"/>
    <numFmt numFmtId="230" formatCode="0.000000000000"/>
    <numFmt numFmtId="231" formatCode="0.00000000"/>
    <numFmt numFmtId="232" formatCode="0.0000000"/>
    <numFmt numFmtId="233" formatCode="0.000000"/>
    <numFmt numFmtId="234" formatCode="0.00000"/>
    <numFmt numFmtId="235" formatCode="0.0000"/>
  </numFmts>
  <fonts count="92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u val="single"/>
      <sz val="16"/>
      <name val="AngsanaUPC"/>
      <family val="1"/>
    </font>
    <font>
      <sz val="8"/>
      <name val="Cordia New"/>
      <family val="2"/>
    </font>
    <font>
      <b/>
      <u val="single"/>
      <sz val="16"/>
      <name val="Angsana New"/>
      <family val="1"/>
    </font>
    <font>
      <b/>
      <sz val="14"/>
      <name val="AngsanaUPC"/>
      <family val="1"/>
    </font>
    <font>
      <b/>
      <u val="single"/>
      <sz val="16"/>
      <name val="AngsanaUPC"/>
      <family val="1"/>
    </font>
    <font>
      <b/>
      <u val="single"/>
      <sz val="16"/>
      <color indexed="9"/>
      <name val="AngsanaUPC"/>
      <family val="1"/>
    </font>
    <font>
      <sz val="16"/>
      <color indexed="9"/>
      <name val="AngsanaUPC"/>
      <family val="1"/>
    </font>
    <font>
      <b/>
      <u val="single"/>
      <sz val="16"/>
      <name val="Cordia New"/>
      <family val="2"/>
    </font>
    <font>
      <sz val="16"/>
      <name val="Cordia New"/>
      <family val="2"/>
    </font>
    <font>
      <sz val="14"/>
      <color indexed="9"/>
      <name val="Cordia New"/>
      <family val="2"/>
    </font>
    <font>
      <u val="single"/>
      <sz val="16"/>
      <name val="Cordia New"/>
      <family val="2"/>
    </font>
    <font>
      <b/>
      <sz val="16"/>
      <name val="Cordia New"/>
      <family val="2"/>
    </font>
    <font>
      <sz val="14"/>
      <name val="Angsana New"/>
      <family val="1"/>
    </font>
    <font>
      <sz val="12"/>
      <name val="Angsana New"/>
      <family val="1"/>
    </font>
    <font>
      <sz val="12"/>
      <name val="CordiaUPC"/>
      <family val="2"/>
    </font>
    <font>
      <sz val="10"/>
      <name val="CordiaUPC"/>
      <family val="2"/>
    </font>
    <font>
      <b/>
      <sz val="12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5"/>
      <color indexed="9"/>
      <name val="AngsanaUPC"/>
      <family val="1"/>
    </font>
    <font>
      <sz val="16"/>
      <color indexed="9"/>
      <name val="Cordia New"/>
      <family val="2"/>
    </font>
    <font>
      <b/>
      <sz val="15"/>
      <color indexed="9"/>
      <name val="AngsanaUPC"/>
      <family val="1"/>
    </font>
    <font>
      <sz val="12"/>
      <name val="AngsanaUPC"/>
      <family val="1"/>
    </font>
    <font>
      <sz val="12"/>
      <name val="Cordia New"/>
      <family val="2"/>
    </font>
    <font>
      <sz val="12"/>
      <color indexed="8"/>
      <name val="CordiaUPC"/>
      <family val="2"/>
    </font>
    <font>
      <sz val="16"/>
      <name val="Arial"/>
      <family val="2"/>
    </font>
    <font>
      <sz val="16"/>
      <color indexed="9"/>
      <name val="Angsana New"/>
      <family val="1"/>
    </font>
    <font>
      <u val="single"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u val="single"/>
      <sz val="15"/>
      <name val="Angsana New"/>
      <family val="1"/>
    </font>
    <font>
      <b/>
      <sz val="14"/>
      <name val="Cordia New"/>
      <family val="2"/>
    </font>
    <font>
      <sz val="12"/>
      <color indexed="9"/>
      <name val="CordiaUPC"/>
      <family val="2"/>
    </font>
    <font>
      <u val="singleAccounting"/>
      <sz val="16"/>
      <name val="AngsanaUPC"/>
      <family val="1"/>
    </font>
    <font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52"/>
      <name val="Angsana New"/>
      <family val="2"/>
    </font>
    <font>
      <b/>
      <sz val="16"/>
      <color indexed="9"/>
      <name val="Angsana New"/>
      <family val="2"/>
    </font>
    <font>
      <i/>
      <sz val="16"/>
      <color indexed="23"/>
      <name val="Angsana New"/>
      <family val="2"/>
    </font>
    <font>
      <sz val="16"/>
      <color indexed="17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6"/>
      <color indexed="62"/>
      <name val="Angsana New"/>
      <family val="2"/>
    </font>
    <font>
      <sz val="16"/>
      <color indexed="52"/>
      <name val="Angsana New"/>
      <family val="2"/>
    </font>
    <font>
      <sz val="16"/>
      <color indexed="60"/>
      <name val="Angsana New"/>
      <family val="2"/>
    </font>
    <font>
      <b/>
      <sz val="16"/>
      <color indexed="63"/>
      <name val="Angsana New"/>
      <family val="2"/>
    </font>
    <font>
      <b/>
      <sz val="18"/>
      <color indexed="56"/>
      <name val="Tahoma"/>
      <family val="2"/>
    </font>
    <font>
      <b/>
      <sz val="16"/>
      <color indexed="8"/>
      <name val="Angsana New"/>
      <family val="2"/>
    </font>
    <font>
      <sz val="16"/>
      <color indexed="10"/>
      <name val="Angsana New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sz val="15"/>
      <color indexed="9"/>
      <name val="Angsana New"/>
      <family val="1"/>
    </font>
    <font>
      <sz val="13"/>
      <color indexed="8"/>
      <name val="Cordia New"/>
      <family val="2"/>
    </font>
    <font>
      <sz val="14"/>
      <color indexed="8"/>
      <name val="Cordia New"/>
      <family val="2"/>
    </font>
    <font>
      <sz val="16"/>
      <color indexed="8"/>
      <name val="Cordia New"/>
      <family val="2"/>
    </font>
    <font>
      <sz val="15"/>
      <color indexed="8"/>
      <name val="Cordia New"/>
      <family val="2"/>
    </font>
    <font>
      <sz val="16"/>
      <color indexed="8"/>
      <name val="AngsanaUPC"/>
      <family val="1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sz val="16"/>
      <color rgb="FF9C0006"/>
      <name val="Angsana New"/>
      <family val="2"/>
    </font>
    <font>
      <b/>
      <sz val="16"/>
      <color rgb="FFFA7D00"/>
      <name val="Angsana New"/>
      <family val="2"/>
    </font>
    <font>
      <b/>
      <sz val="16"/>
      <color theme="0"/>
      <name val="Angsana New"/>
      <family val="2"/>
    </font>
    <font>
      <i/>
      <sz val="16"/>
      <color rgb="FF7F7F7F"/>
      <name val="Angsana New"/>
      <family val="2"/>
    </font>
    <font>
      <sz val="16"/>
      <color rgb="FF006100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3F3F76"/>
      <name val="Angsana New"/>
      <family val="2"/>
    </font>
    <font>
      <sz val="16"/>
      <color rgb="FFFA7D00"/>
      <name val="Angsana New"/>
      <family val="2"/>
    </font>
    <font>
      <sz val="16"/>
      <color rgb="FF9C6500"/>
      <name val="Angsana New"/>
      <family val="2"/>
    </font>
    <font>
      <b/>
      <sz val="16"/>
      <color rgb="FF3F3F3F"/>
      <name val="Angsana New"/>
      <family val="2"/>
    </font>
    <font>
      <b/>
      <sz val="18"/>
      <color theme="3"/>
      <name val="Cambria"/>
      <family val="2"/>
    </font>
    <font>
      <b/>
      <sz val="16"/>
      <color theme="1"/>
      <name val="Angsana New"/>
      <family val="2"/>
    </font>
    <font>
      <sz val="16"/>
      <color rgb="FFFF0000"/>
      <name val="Angsana New"/>
      <family val="2"/>
    </font>
    <font>
      <sz val="16"/>
      <color theme="0"/>
      <name val="Arial"/>
      <family val="2"/>
    </font>
    <font>
      <sz val="16"/>
      <color theme="1"/>
      <name val="Arial"/>
      <family val="2"/>
    </font>
    <font>
      <sz val="12"/>
      <color theme="1"/>
      <name val="CordiaUPC"/>
      <family val="2"/>
    </font>
    <font>
      <sz val="14"/>
      <color theme="0"/>
      <name val="Cordia New"/>
      <family val="2"/>
    </font>
    <font>
      <sz val="15"/>
      <color theme="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4" fontId="1" fillId="33" borderId="0" xfId="4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3" fontId="1" fillId="33" borderId="0" xfId="42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3" fontId="1" fillId="33" borderId="0" xfId="42" applyFont="1" applyFill="1" applyAlignment="1">
      <alignment/>
    </xf>
    <xf numFmtId="0" fontId="1" fillId="33" borderId="16" xfId="0" applyFont="1" applyFill="1" applyBorder="1" applyAlignment="1">
      <alignment horizontal="center"/>
    </xf>
    <xf numFmtId="43" fontId="1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43" fontId="1" fillId="33" borderId="17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9" xfId="42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1" fillId="33" borderId="21" xfId="0" applyNumberFormat="1" applyFon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209" fontId="1" fillId="0" borderId="13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20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209" fontId="20" fillId="0" borderId="21" xfId="0" applyNumberFormat="1" applyFont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49" fontId="1" fillId="33" borderId="17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43" fontId="0" fillId="33" borderId="0" xfId="0" applyNumberFormat="1" applyFill="1" applyAlignment="1">
      <alignment/>
    </xf>
    <xf numFmtId="209" fontId="1" fillId="0" borderId="13" xfId="42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3" fontId="1" fillId="33" borderId="17" xfId="42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/>
    </xf>
    <xf numFmtId="43" fontId="1" fillId="33" borderId="15" xfId="42" applyFont="1" applyFill="1" applyBorder="1" applyAlignment="1">
      <alignment/>
    </xf>
    <xf numFmtId="43" fontId="0" fillId="33" borderId="0" xfId="0" applyNumberFormat="1" applyFont="1" applyFill="1" applyAlignment="1">
      <alignment/>
    </xf>
    <xf numFmtId="49" fontId="1" fillId="33" borderId="14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/>
    </xf>
    <xf numFmtId="43" fontId="7" fillId="33" borderId="0" xfId="42" applyFont="1" applyFill="1" applyBorder="1" applyAlignment="1">
      <alignment horizontal="right"/>
    </xf>
    <xf numFmtId="43" fontId="7" fillId="33" borderId="0" xfId="42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43" fontId="1" fillId="33" borderId="17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209" fontId="7" fillId="33" borderId="17" xfId="42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209" fontId="7" fillId="33" borderId="17" xfId="42" applyNumberFormat="1" applyFont="1" applyFill="1" applyBorder="1" applyAlignment="1">
      <alignment/>
    </xf>
    <xf numFmtId="209" fontId="7" fillId="33" borderId="15" xfId="42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/>
    </xf>
    <xf numFmtId="209" fontId="7" fillId="33" borderId="15" xfId="0" applyNumberFormat="1" applyFont="1" applyFill="1" applyBorder="1" applyAlignment="1">
      <alignment/>
    </xf>
    <xf numFmtId="43" fontId="7" fillId="33" borderId="15" xfId="42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 horizontal="center"/>
    </xf>
    <xf numFmtId="209" fontId="1" fillId="33" borderId="0" xfId="0" applyNumberFormat="1" applyFont="1" applyFill="1" applyAlignment="1">
      <alignment/>
    </xf>
    <xf numFmtId="43" fontId="7" fillId="33" borderId="15" xfId="42" applyNumberFormat="1" applyFont="1" applyFill="1" applyBorder="1" applyAlignment="1">
      <alignment horizontal="center"/>
    </xf>
    <xf numFmtId="43" fontId="8" fillId="33" borderId="19" xfId="42" applyNumberFormat="1" applyFont="1" applyFill="1" applyBorder="1" applyAlignment="1">
      <alignment/>
    </xf>
    <xf numFmtId="209" fontId="8" fillId="33" borderId="19" xfId="42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205" fontId="8" fillId="33" borderId="0" xfId="42" applyNumberFormat="1" applyFont="1" applyFill="1" applyBorder="1" applyAlignment="1">
      <alignment/>
    </xf>
    <xf numFmtId="209" fontId="8" fillId="33" borderId="26" xfId="42" applyNumberFormat="1" applyFont="1" applyFill="1" applyBorder="1" applyAlignment="1">
      <alignment horizontal="right"/>
    </xf>
    <xf numFmtId="209" fontId="8" fillId="33" borderId="15" xfId="42" applyNumberFormat="1" applyFont="1" applyFill="1" applyBorder="1" applyAlignment="1">
      <alignment/>
    </xf>
    <xf numFmtId="209" fontId="7" fillId="33" borderId="0" xfId="0" applyNumberFormat="1" applyFont="1" applyFill="1" applyBorder="1" applyAlignment="1">
      <alignment horizontal="center"/>
    </xf>
    <xf numFmtId="209" fontId="8" fillId="33" borderId="16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209" fontId="8" fillId="33" borderId="19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205" fontId="7" fillId="33" borderId="17" xfId="42" applyNumberFormat="1" applyFont="1" applyFill="1" applyBorder="1" applyAlignment="1">
      <alignment horizontal="center"/>
    </xf>
    <xf numFmtId="209" fontId="7" fillId="33" borderId="15" xfId="42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209" fontId="8" fillId="33" borderId="16" xfId="42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209" fontId="7" fillId="33" borderId="0" xfId="0" applyNumberFormat="1" applyFont="1" applyFill="1" applyBorder="1" applyAlignment="1">
      <alignment/>
    </xf>
    <xf numFmtId="209" fontId="7" fillId="33" borderId="0" xfId="0" applyNumberFormat="1" applyFont="1" applyFill="1" applyAlignment="1">
      <alignment/>
    </xf>
    <xf numFmtId="209" fontId="8" fillId="33" borderId="0" xfId="42" applyNumberFormat="1" applyFont="1" applyFill="1" applyBorder="1" applyAlignment="1">
      <alignment horizontal="right"/>
    </xf>
    <xf numFmtId="205" fontId="7" fillId="33" borderId="0" xfId="42" applyNumberFormat="1" applyFont="1" applyFill="1" applyBorder="1" applyAlignment="1">
      <alignment/>
    </xf>
    <xf numFmtId="205" fontId="7" fillId="33" borderId="0" xfId="42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4" fontId="6" fillId="33" borderId="17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3" fontId="5" fillId="33" borderId="15" xfId="42" applyNumberFormat="1" applyFont="1" applyFill="1" applyBorder="1" applyAlignment="1">
      <alignment/>
    </xf>
    <xf numFmtId="43" fontId="5" fillId="33" borderId="15" xfId="42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3" fontId="5" fillId="33" borderId="15" xfId="42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4" fontId="5" fillId="33" borderId="15" xfId="0" applyNumberFormat="1" applyFont="1" applyFill="1" applyBorder="1" applyAlignment="1">
      <alignment horizontal="right"/>
    </xf>
    <xf numFmtId="43" fontId="5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3" fontId="5" fillId="33" borderId="19" xfId="42" applyFont="1" applyFill="1" applyBorder="1" applyAlignment="1">
      <alignment/>
    </xf>
    <xf numFmtId="43" fontId="5" fillId="33" borderId="19" xfId="42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/>
    </xf>
    <xf numFmtId="209" fontId="19" fillId="0" borderId="0" xfId="0" applyNumberFormat="1" applyFont="1" applyAlignment="1">
      <alignment/>
    </xf>
    <xf numFmtId="0" fontId="12" fillId="33" borderId="0" xfId="0" applyFont="1" applyFill="1" applyAlignment="1">
      <alignment horizontal="center"/>
    </xf>
    <xf numFmtId="43" fontId="1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43" fontId="5" fillId="33" borderId="15" xfId="42" applyFont="1" applyFill="1" applyBorder="1" applyAlignment="1">
      <alignment horizontal="left"/>
    </xf>
    <xf numFmtId="43" fontId="5" fillId="33" borderId="15" xfId="0" applyNumberFormat="1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/>
    </xf>
    <xf numFmtId="43" fontId="5" fillId="33" borderId="15" xfId="42" applyFont="1" applyFill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4" fontId="20" fillId="0" borderId="0" xfId="0" applyNumberFormat="1" applyFont="1" applyAlignment="1">
      <alignment/>
    </xf>
    <xf numFmtId="194" fontId="23" fillId="0" borderId="21" xfId="0" applyNumberFormat="1" applyFont="1" applyBorder="1" applyAlignment="1">
      <alignment/>
    </xf>
    <xf numFmtId="194" fontId="20" fillId="0" borderId="0" xfId="0" applyNumberFormat="1" applyFont="1" applyBorder="1" applyAlignment="1">
      <alignment/>
    </xf>
    <xf numFmtId="0" fontId="20" fillId="0" borderId="0" xfId="0" applyFont="1" applyAlignment="1">
      <alignment horizontal="right"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0" fontId="18" fillId="0" borderId="0" xfId="0" applyFont="1" applyAlignment="1">
      <alignment/>
    </xf>
    <xf numFmtId="43" fontId="24" fillId="33" borderId="10" xfId="42" applyFont="1" applyFill="1" applyBorder="1" applyAlignment="1">
      <alignment horizontal="center"/>
    </xf>
    <xf numFmtId="43" fontId="25" fillId="33" borderId="17" xfId="42" applyFont="1" applyFill="1" applyBorder="1" applyAlignment="1">
      <alignment horizontal="center"/>
    </xf>
    <xf numFmtId="49" fontId="26" fillId="33" borderId="17" xfId="42" applyNumberFormat="1" applyFont="1" applyFill="1" applyBorder="1" applyAlignment="1">
      <alignment horizontal="center" vertical="center"/>
    </xf>
    <xf numFmtId="49" fontId="26" fillId="33" borderId="24" xfId="42" applyNumberFormat="1" applyFont="1" applyFill="1" applyBorder="1" applyAlignment="1">
      <alignment horizontal="center" vertical="center"/>
    </xf>
    <xf numFmtId="49" fontId="26" fillId="33" borderId="16" xfId="42" applyNumberFormat="1" applyFont="1" applyFill="1" applyBorder="1" applyAlignment="1">
      <alignment horizontal="center"/>
    </xf>
    <xf numFmtId="49" fontId="26" fillId="33" borderId="24" xfId="42" applyNumberFormat="1" applyFont="1" applyFill="1" applyBorder="1" applyAlignment="1">
      <alignment/>
    </xf>
    <xf numFmtId="49" fontId="26" fillId="33" borderId="17" xfId="42" applyNumberFormat="1" applyFont="1" applyFill="1" applyBorder="1" applyAlignment="1">
      <alignment/>
    </xf>
    <xf numFmtId="49" fontId="26" fillId="33" borderId="16" xfId="42" applyNumberFormat="1" applyFont="1" applyFill="1" applyBorder="1" applyAlignment="1">
      <alignment horizontal="center" vertical="center"/>
    </xf>
    <xf numFmtId="43" fontId="25" fillId="33" borderId="14" xfId="42" applyFont="1" applyFill="1" applyBorder="1" applyAlignment="1">
      <alignment horizontal="center"/>
    </xf>
    <xf numFmtId="49" fontId="26" fillId="33" borderId="14" xfId="42" applyNumberFormat="1" applyFont="1" applyFill="1" applyBorder="1" applyAlignment="1">
      <alignment horizontal="center"/>
    </xf>
    <xf numFmtId="49" fontId="26" fillId="33" borderId="14" xfId="42" applyNumberFormat="1" applyFont="1" applyFill="1" applyBorder="1" applyAlignment="1">
      <alignment horizontal="center" vertical="center"/>
    </xf>
    <xf numFmtId="49" fontId="26" fillId="33" borderId="15" xfId="42" applyNumberFormat="1" applyFont="1" applyFill="1" applyBorder="1" applyAlignment="1">
      <alignment horizontal="center" vertical="center"/>
    </xf>
    <xf numFmtId="49" fontId="26" fillId="33" borderId="16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/>
    </xf>
    <xf numFmtId="43" fontId="25" fillId="33" borderId="16" xfId="42" applyFont="1" applyFill="1" applyBorder="1" applyAlignment="1">
      <alignment/>
    </xf>
    <xf numFmtId="4" fontId="27" fillId="33" borderId="16" xfId="42" applyNumberFormat="1" applyFont="1" applyFill="1" applyBorder="1" applyAlignment="1">
      <alignment horizontal="center"/>
    </xf>
    <xf numFmtId="4" fontId="26" fillId="33" borderId="16" xfId="42" applyNumberFormat="1" applyFont="1" applyFill="1" applyBorder="1" applyAlignment="1">
      <alignment horizontal="center"/>
    </xf>
    <xf numFmtId="4" fontId="27" fillId="33" borderId="16" xfId="42" applyNumberFormat="1" applyFont="1" applyFill="1" applyBorder="1" applyAlignment="1">
      <alignment horizontal="center" vertical="center"/>
    </xf>
    <xf numFmtId="4" fontId="26" fillId="33" borderId="17" xfId="42" applyNumberFormat="1" applyFont="1" applyFill="1" applyBorder="1" applyAlignment="1">
      <alignment horizontal="center"/>
    </xf>
    <xf numFmtId="4" fontId="27" fillId="33" borderId="17" xfId="42" applyNumberFormat="1" applyFont="1" applyFill="1" applyBorder="1" applyAlignment="1">
      <alignment horizontal="center"/>
    </xf>
    <xf numFmtId="4" fontId="27" fillId="33" borderId="17" xfId="42" applyNumberFormat="1" applyFont="1" applyFill="1" applyBorder="1" applyAlignment="1">
      <alignment horizontal="center" vertical="center"/>
    </xf>
    <xf numFmtId="43" fontId="28" fillId="33" borderId="17" xfId="42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center" vertical="center"/>
    </xf>
    <xf numFmtId="4" fontId="27" fillId="33" borderId="27" xfId="42" applyNumberFormat="1" applyFont="1" applyFill="1" applyBorder="1" applyAlignment="1">
      <alignment horizontal="center" vertical="center"/>
    </xf>
    <xf numFmtId="4" fontId="27" fillId="33" borderId="27" xfId="42" applyNumberFormat="1" applyFont="1" applyFill="1" applyBorder="1" applyAlignment="1">
      <alignment horizontal="center"/>
    </xf>
    <xf numFmtId="4" fontId="26" fillId="33" borderId="27" xfId="42" applyNumberFormat="1" applyFont="1" applyFill="1" applyBorder="1" applyAlignment="1">
      <alignment horizontal="center"/>
    </xf>
    <xf numFmtId="43" fontId="28" fillId="33" borderId="14" xfId="42" applyFont="1" applyFill="1" applyBorder="1" applyAlignment="1">
      <alignment horizontal="right"/>
    </xf>
    <xf numFmtId="4" fontId="26" fillId="33" borderId="14" xfId="42" applyNumberFormat="1" applyFont="1" applyFill="1" applyBorder="1" applyAlignment="1">
      <alignment horizontal="center"/>
    </xf>
    <xf numFmtId="4" fontId="26" fillId="33" borderId="15" xfId="42" applyNumberFormat="1" applyFont="1" applyFill="1" applyBorder="1" applyAlignment="1">
      <alignment horizontal="center"/>
    </xf>
    <xf numFmtId="4" fontId="27" fillId="33" borderId="15" xfId="42" applyNumberFormat="1" applyFont="1" applyFill="1" applyBorder="1" applyAlignment="1">
      <alignment horizontal="center"/>
    </xf>
    <xf numFmtId="4" fontId="27" fillId="33" borderId="15" xfId="42" applyNumberFormat="1" applyFont="1" applyFill="1" applyBorder="1" applyAlignment="1">
      <alignment horizontal="center" vertical="center"/>
    </xf>
    <xf numFmtId="4" fontId="26" fillId="33" borderId="28" xfId="42" applyNumberFormat="1" applyFont="1" applyFill="1" applyBorder="1" applyAlignment="1">
      <alignment horizontal="center"/>
    </xf>
    <xf numFmtId="43" fontId="28" fillId="33" borderId="15" xfId="42" applyFont="1" applyFill="1" applyBorder="1" applyAlignment="1">
      <alignment horizontal="right"/>
    </xf>
    <xf numFmtId="4" fontId="26" fillId="33" borderId="16" xfId="42" applyNumberFormat="1" applyFont="1" applyFill="1" applyBorder="1" applyAlignment="1">
      <alignment horizontal="center" vertical="center"/>
    </xf>
    <xf numFmtId="4" fontId="26" fillId="33" borderId="17" xfId="42" applyNumberFormat="1" applyFont="1" applyFill="1" applyBorder="1" applyAlignment="1">
      <alignment horizontal="center" vertical="center"/>
    </xf>
    <xf numFmtId="4" fontId="26" fillId="33" borderId="29" xfId="42" applyNumberFormat="1" applyFont="1" applyFill="1" applyBorder="1" applyAlignment="1">
      <alignment horizontal="center" vertical="center"/>
    </xf>
    <xf numFmtId="4" fontId="26" fillId="33" borderId="29" xfId="42" applyNumberFormat="1" applyFont="1" applyFill="1" applyBorder="1" applyAlignment="1">
      <alignment horizontal="center"/>
    </xf>
    <xf numFmtId="43" fontId="25" fillId="33" borderId="17" xfId="42" applyFont="1" applyFill="1" applyBorder="1" applyAlignment="1">
      <alignment/>
    </xf>
    <xf numFmtId="4" fontId="26" fillId="33" borderId="30" xfId="42" applyNumberFormat="1" applyFont="1" applyFill="1" applyBorder="1" applyAlignment="1">
      <alignment horizontal="center"/>
    </xf>
    <xf numFmtId="43" fontId="29" fillId="33" borderId="23" xfId="42" applyFont="1" applyFill="1" applyBorder="1" applyAlignment="1">
      <alignment/>
    </xf>
    <xf numFmtId="4" fontId="29" fillId="33" borderId="23" xfId="42" applyNumberFormat="1" applyFont="1" applyFill="1" applyBorder="1" applyAlignment="1">
      <alignment horizontal="center"/>
    </xf>
    <xf numFmtId="43" fontId="25" fillId="33" borderId="0" xfId="42" applyFont="1" applyFill="1" applyBorder="1" applyAlignment="1">
      <alignment/>
    </xf>
    <xf numFmtId="4" fontId="29" fillId="33" borderId="0" xfId="42" applyNumberFormat="1" applyFont="1" applyFill="1" applyBorder="1" applyAlignment="1">
      <alignment horizontal="center"/>
    </xf>
    <xf numFmtId="4" fontId="26" fillId="33" borderId="14" xfId="0" applyNumberFormat="1" applyFont="1" applyFill="1" applyBorder="1" applyAlignment="1">
      <alignment horizontal="center" vertical="center"/>
    </xf>
    <xf numFmtId="4" fontId="26" fillId="33" borderId="14" xfId="42" applyNumberFormat="1" applyFont="1" applyFill="1" applyBorder="1" applyAlignment="1">
      <alignment horizontal="center" vertical="center"/>
    </xf>
    <xf numFmtId="4" fontId="26" fillId="33" borderId="16" xfId="0" applyNumberFormat="1" applyFont="1" applyFill="1" applyBorder="1" applyAlignment="1">
      <alignment horizontal="center" vertical="center"/>
    </xf>
    <xf numFmtId="4" fontId="26" fillId="33" borderId="15" xfId="42" applyNumberFormat="1" applyFont="1" applyFill="1" applyBorder="1" applyAlignment="1">
      <alignment horizontal="center" vertical="center"/>
    </xf>
    <xf numFmtId="43" fontId="30" fillId="33" borderId="0" xfId="42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205" fontId="7" fillId="0" borderId="0" xfId="42" applyNumberFormat="1" applyFont="1" applyBorder="1" applyAlignment="1">
      <alignment/>
    </xf>
    <xf numFmtId="43" fontId="28" fillId="33" borderId="0" xfId="42" applyFont="1" applyFill="1" applyBorder="1" applyAlignment="1">
      <alignment horizontal="right"/>
    </xf>
    <xf numFmtId="4" fontId="26" fillId="33" borderId="0" xfId="42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/>
    </xf>
    <xf numFmtId="43" fontId="1" fillId="0" borderId="13" xfId="42" applyFont="1" applyBorder="1" applyAlignment="1">
      <alignment horizontal="center"/>
    </xf>
    <xf numFmtId="209" fontId="7" fillId="33" borderId="11" xfId="42" applyNumberFormat="1" applyFont="1" applyFill="1" applyBorder="1" applyAlignment="1">
      <alignment horizontal="right"/>
    </xf>
    <xf numFmtId="43" fontId="1" fillId="0" borderId="0" xfId="42" applyFont="1" applyBorder="1" applyAlignment="1">
      <alignment horizontal="center"/>
    </xf>
    <xf numFmtId="194" fontId="1" fillId="0" borderId="13" xfId="0" applyNumberFormat="1" applyFont="1" applyBorder="1" applyAlignment="1">
      <alignment horizontal="right"/>
    </xf>
    <xf numFmtId="194" fontId="1" fillId="33" borderId="11" xfId="42" applyNumberFormat="1" applyFont="1" applyFill="1" applyBorder="1" applyAlignment="1">
      <alignment horizontal="right"/>
    </xf>
    <xf numFmtId="194" fontId="1" fillId="33" borderId="11" xfId="42" applyNumberFormat="1" applyFont="1" applyFill="1" applyBorder="1" applyAlignment="1">
      <alignment horizontal="center"/>
    </xf>
    <xf numFmtId="194" fontId="1" fillId="33" borderId="15" xfId="42" applyNumberFormat="1" applyFont="1" applyFill="1" applyBorder="1" applyAlignment="1">
      <alignment/>
    </xf>
    <xf numFmtId="194" fontId="1" fillId="33" borderId="19" xfId="42" applyNumberFormat="1" applyFont="1" applyFill="1" applyBorder="1" applyAlignment="1">
      <alignment/>
    </xf>
    <xf numFmtId="43" fontId="25" fillId="33" borderId="16" xfId="42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right"/>
    </xf>
    <xf numFmtId="194" fontId="32" fillId="0" borderId="0" xfId="0" applyNumberFormat="1" applyFont="1" applyAlignment="1">
      <alignment/>
    </xf>
    <xf numFmtId="0" fontId="1" fillId="33" borderId="22" xfId="0" applyFont="1" applyFill="1" applyBorder="1" applyAlignment="1">
      <alignment horizontal="left" vertical="center"/>
    </xf>
    <xf numFmtId="43" fontId="33" fillId="33" borderId="0" xfId="42" applyNumberFormat="1" applyFont="1" applyFill="1" applyBorder="1" applyAlignment="1">
      <alignment/>
    </xf>
    <xf numFmtId="0" fontId="1" fillId="33" borderId="23" xfId="0" applyFont="1" applyFill="1" applyBorder="1" applyAlignment="1">
      <alignment horizontal="left" vertical="center"/>
    </xf>
    <xf numFmtId="194" fontId="0" fillId="33" borderId="0" xfId="0" applyNumberFormat="1" applyFill="1" applyAlignment="1">
      <alignment/>
    </xf>
    <xf numFmtId="43" fontId="25" fillId="33" borderId="16" xfId="42" applyFont="1" applyFill="1" applyBorder="1" applyAlignment="1">
      <alignment horizontal="left" indent="2"/>
    </xf>
    <xf numFmtId="0" fontId="1" fillId="33" borderId="13" xfId="0" applyFont="1" applyFill="1" applyBorder="1" applyAlignment="1">
      <alignment horizontal="left"/>
    </xf>
    <xf numFmtId="194" fontId="1" fillId="33" borderId="15" xfId="42" applyNumberFormat="1" applyFont="1" applyFill="1" applyBorder="1" applyAlignment="1">
      <alignment horizontal="center"/>
    </xf>
    <xf numFmtId="194" fontId="1" fillId="33" borderId="13" xfId="42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 vertical="center"/>
    </xf>
    <xf numFmtId="4" fontId="1" fillId="33" borderId="0" xfId="42" applyNumberFormat="1" applyFont="1" applyFill="1" applyBorder="1" applyAlignment="1">
      <alignment horizontal="right"/>
    </xf>
    <xf numFmtId="227" fontId="26" fillId="33" borderId="14" xfId="42" applyNumberFormat="1" applyFont="1" applyFill="1" applyBorder="1" applyAlignment="1">
      <alignment horizontal="center"/>
    </xf>
    <xf numFmtId="227" fontId="26" fillId="33" borderId="16" xfId="42" applyNumberFormat="1" applyFont="1" applyFill="1" applyBorder="1" applyAlignment="1">
      <alignment horizontal="center"/>
    </xf>
    <xf numFmtId="39" fontId="26" fillId="33" borderId="27" xfId="42" applyNumberFormat="1" applyFont="1" applyFill="1" applyBorder="1" applyAlignment="1">
      <alignment horizontal="center" vertical="center"/>
    </xf>
    <xf numFmtId="43" fontId="26" fillId="33" borderId="27" xfId="42" applyFont="1" applyFill="1" applyBorder="1" applyAlignment="1">
      <alignment horizontal="center" vertical="center"/>
    </xf>
    <xf numFmtId="4" fontId="27" fillId="33" borderId="31" xfId="42" applyNumberFormat="1" applyFont="1" applyFill="1" applyBorder="1" applyAlignment="1">
      <alignment horizontal="center" vertical="center"/>
    </xf>
    <xf numFmtId="43" fontId="25" fillId="33" borderId="17" xfId="42" applyFont="1" applyFill="1" applyBorder="1" applyAlignment="1">
      <alignment horizontal="left" indent="2"/>
    </xf>
    <xf numFmtId="0" fontId="1" fillId="33" borderId="22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3" fontId="25" fillId="33" borderId="10" xfId="42" applyFont="1" applyFill="1" applyBorder="1" applyAlignment="1">
      <alignment horizontal="center"/>
    </xf>
    <xf numFmtId="4" fontId="25" fillId="33" borderId="23" xfId="42" applyNumberFormat="1" applyFont="1" applyFill="1" applyBorder="1" applyAlignment="1">
      <alignment horizontal="center"/>
    </xf>
    <xf numFmtId="4" fontId="25" fillId="33" borderId="0" xfId="42" applyNumberFormat="1" applyFont="1" applyFill="1" applyBorder="1" applyAlignment="1">
      <alignment horizontal="center"/>
    </xf>
    <xf numFmtId="4" fontId="25" fillId="33" borderId="0" xfId="42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227" fontId="36" fillId="0" borderId="16" xfId="42" applyNumberFormat="1" applyFont="1" applyFill="1" applyBorder="1" applyAlignment="1" applyProtection="1">
      <alignment horizontal="center"/>
      <protection/>
    </xf>
    <xf numFmtId="43" fontId="36" fillId="0" borderId="16" xfId="42" applyFont="1" applyFill="1" applyBorder="1" applyAlignment="1" applyProtection="1">
      <alignment horizontal="center"/>
      <protection/>
    </xf>
    <xf numFmtId="43" fontId="26" fillId="33" borderId="14" xfId="42" applyFont="1" applyFill="1" applyBorder="1" applyAlignment="1">
      <alignment horizontal="center"/>
    </xf>
    <xf numFmtId="43" fontId="26" fillId="33" borderId="14" xfId="42" applyFont="1" applyFill="1" applyBorder="1" applyAlignment="1">
      <alignment/>
    </xf>
    <xf numFmtId="43" fontId="26" fillId="33" borderId="16" xfId="42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right" vertical="center"/>
    </xf>
    <xf numFmtId="43" fontId="24" fillId="33" borderId="10" xfId="42" applyFont="1" applyFill="1" applyBorder="1" applyAlignment="1">
      <alignment horizontal="right"/>
    </xf>
    <xf numFmtId="43" fontId="36" fillId="0" borderId="16" xfId="42" applyFont="1" applyFill="1" applyBorder="1" applyAlignment="1" applyProtection="1">
      <alignment horizontal="right" vertical="center"/>
      <protection/>
    </xf>
    <xf numFmtId="4" fontId="26" fillId="33" borderId="16" xfId="42" applyNumberFormat="1" applyFont="1" applyFill="1" applyBorder="1" applyAlignment="1">
      <alignment horizontal="right"/>
    </xf>
    <xf numFmtId="4" fontId="26" fillId="33" borderId="17" xfId="42" applyNumberFormat="1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right"/>
    </xf>
    <xf numFmtId="43" fontId="26" fillId="33" borderId="14" xfId="42" applyFont="1" applyFill="1" applyBorder="1" applyAlignment="1">
      <alignment horizontal="right"/>
    </xf>
    <xf numFmtId="43" fontId="26" fillId="33" borderId="16" xfId="42" applyFont="1" applyFill="1" applyBorder="1" applyAlignment="1">
      <alignment horizontal="right"/>
    </xf>
    <xf numFmtId="43" fontId="26" fillId="33" borderId="17" xfId="42" applyFont="1" applyFill="1" applyBorder="1" applyAlignment="1">
      <alignment horizontal="right"/>
    </xf>
    <xf numFmtId="4" fontId="26" fillId="33" borderId="32" xfId="42" applyNumberFormat="1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right" vertical="center"/>
    </xf>
    <xf numFmtId="4" fontId="26" fillId="33" borderId="0" xfId="42" applyNumberFormat="1" applyFont="1" applyFill="1" applyBorder="1" applyAlignment="1">
      <alignment horizontal="right" vertical="center"/>
    </xf>
    <xf numFmtId="4" fontId="26" fillId="33" borderId="14" xfId="42" applyNumberFormat="1" applyFont="1" applyFill="1" applyBorder="1" applyAlignment="1">
      <alignment horizontal="right"/>
    </xf>
    <xf numFmtId="4" fontId="29" fillId="33" borderId="23" xfId="42" applyNumberFormat="1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right"/>
    </xf>
    <xf numFmtId="4" fontId="26" fillId="33" borderId="14" xfId="0" applyNumberFormat="1" applyFont="1" applyFill="1" applyBorder="1" applyAlignment="1">
      <alignment horizontal="right" vertical="center"/>
    </xf>
    <xf numFmtId="4" fontId="26" fillId="33" borderId="15" xfId="42" applyNumberFormat="1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33" borderId="0" xfId="0" applyFill="1" applyAlignment="1">
      <alignment horizontal="right"/>
    </xf>
    <xf numFmtId="43" fontId="26" fillId="33" borderId="16" xfId="42" applyFont="1" applyFill="1" applyBorder="1" applyAlignment="1">
      <alignment horizontal="center" vertical="center"/>
    </xf>
    <xf numFmtId="209" fontId="31" fillId="0" borderId="0" xfId="0" applyNumberFormat="1" applyFont="1" applyFill="1" applyBorder="1" applyAlignment="1">
      <alignment horizontal="center"/>
    </xf>
    <xf numFmtId="4" fontId="26" fillId="33" borderId="16" xfId="0" applyNumberFormat="1" applyFont="1" applyFill="1" applyBorder="1" applyAlignment="1">
      <alignment/>
    </xf>
    <xf numFmtId="4" fontId="26" fillId="33" borderId="33" xfId="42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209" fontId="5" fillId="33" borderId="15" xfId="42" applyNumberFormat="1" applyFont="1" applyFill="1" applyBorder="1" applyAlignment="1">
      <alignment/>
    </xf>
    <xf numFmtId="20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 indent="6"/>
    </xf>
    <xf numFmtId="209" fontId="38" fillId="33" borderId="15" xfId="0" applyNumberFormat="1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205" fontId="5" fillId="33" borderId="24" xfId="42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205" fontId="5" fillId="33" borderId="13" xfId="42" applyNumberFormat="1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25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229" fontId="5" fillId="33" borderId="13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2" fontId="37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40" fillId="33" borderId="20" xfId="0" applyFont="1" applyFill="1" applyBorder="1" applyAlignment="1">
      <alignment horizontal="center"/>
    </xf>
    <xf numFmtId="49" fontId="40" fillId="33" borderId="16" xfId="0" applyNumberFormat="1" applyFont="1" applyFill="1" applyBorder="1" applyAlignment="1">
      <alignment horizontal="center"/>
    </xf>
    <xf numFmtId="0" fontId="40" fillId="33" borderId="15" xfId="0" applyFont="1" applyFill="1" applyBorder="1" applyAlignment="1">
      <alignment/>
    </xf>
    <xf numFmtId="49" fontId="40" fillId="33" borderId="17" xfId="0" applyNumberFormat="1" applyFont="1" applyFill="1" applyBorder="1" applyAlignment="1">
      <alignment horizontal="center"/>
    </xf>
    <xf numFmtId="205" fontId="40" fillId="33" borderId="17" xfId="42" applyNumberFormat="1" applyFont="1" applyFill="1" applyBorder="1" applyAlignment="1">
      <alignment horizontal="right"/>
    </xf>
    <xf numFmtId="207" fontId="40" fillId="33" borderId="0" xfId="0" applyNumberFormat="1" applyFont="1" applyFill="1" applyBorder="1" applyAlignment="1">
      <alignment horizontal="center"/>
    </xf>
    <xf numFmtId="0" fontId="40" fillId="33" borderId="17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5" xfId="0" applyFont="1" applyFill="1" applyBorder="1" applyAlignment="1">
      <alignment horizontal="left" indent="4"/>
    </xf>
    <xf numFmtId="49" fontId="40" fillId="33" borderId="15" xfId="0" applyNumberFormat="1" applyFont="1" applyFill="1" applyBorder="1" applyAlignment="1">
      <alignment horizontal="center"/>
    </xf>
    <xf numFmtId="205" fontId="40" fillId="33" borderId="15" xfId="42" applyNumberFormat="1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205" fontId="40" fillId="33" borderId="15" xfId="42" applyNumberFormat="1" applyFont="1" applyFill="1" applyBorder="1" applyAlignment="1">
      <alignment horizontal="right"/>
    </xf>
    <xf numFmtId="205" fontId="40" fillId="33" borderId="15" xfId="42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left"/>
    </xf>
    <xf numFmtId="0" fontId="40" fillId="33" borderId="12" xfId="0" applyFont="1" applyFill="1" applyBorder="1" applyAlignment="1">
      <alignment/>
    </xf>
    <xf numFmtId="49" fontId="40" fillId="33" borderId="14" xfId="0" applyNumberFormat="1" applyFont="1" applyFill="1" applyBorder="1" applyAlignment="1">
      <alignment horizontal="center"/>
    </xf>
    <xf numFmtId="205" fontId="40" fillId="33" borderId="10" xfId="0" applyNumberFormat="1" applyFont="1" applyFill="1" applyBorder="1" applyAlignment="1">
      <alignment/>
    </xf>
    <xf numFmtId="0" fontId="40" fillId="33" borderId="14" xfId="0" applyFont="1" applyFill="1" applyBorder="1" applyAlignment="1">
      <alignment horizontal="center"/>
    </xf>
    <xf numFmtId="205" fontId="40" fillId="33" borderId="10" xfId="42" applyNumberFormat="1" applyFont="1" applyFill="1" applyBorder="1" applyAlignment="1">
      <alignment/>
    </xf>
    <xf numFmtId="0" fontId="42" fillId="33" borderId="11" xfId="0" applyFont="1" applyFill="1" applyBorder="1" applyAlignment="1">
      <alignment/>
    </xf>
    <xf numFmtId="49" fontId="40" fillId="33" borderId="0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205" fontId="40" fillId="33" borderId="0" xfId="42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left"/>
    </xf>
    <xf numFmtId="43" fontId="40" fillId="33" borderId="0" xfId="0" applyNumberFormat="1" applyFont="1" applyFill="1" applyBorder="1" applyAlignment="1">
      <alignment horizontal="center"/>
    </xf>
    <xf numFmtId="0" fontId="40" fillId="33" borderId="11" xfId="0" applyFont="1" applyFill="1" applyBorder="1" applyAlignment="1" quotePrefix="1">
      <alignment horizontal="left" indent="8"/>
    </xf>
    <xf numFmtId="0" fontId="40" fillId="33" borderId="10" xfId="0" applyFont="1" applyFill="1" applyBorder="1" applyAlignment="1">
      <alignment/>
    </xf>
    <xf numFmtId="0" fontId="40" fillId="33" borderId="25" xfId="0" applyFont="1" applyFill="1" applyBorder="1" applyAlignment="1">
      <alignment/>
    </xf>
    <xf numFmtId="0" fontId="40" fillId="33" borderId="23" xfId="0" applyFont="1" applyFill="1" applyBorder="1" applyAlignment="1">
      <alignment/>
    </xf>
    <xf numFmtId="205" fontId="40" fillId="33" borderId="17" xfId="42" applyNumberFormat="1" applyFont="1" applyFill="1" applyBorder="1" applyAlignment="1">
      <alignment/>
    </xf>
    <xf numFmtId="41" fontId="40" fillId="33" borderId="0" xfId="0" applyNumberFormat="1" applyFont="1" applyFill="1" applyBorder="1" applyAlignment="1">
      <alignment horizontal="center"/>
    </xf>
    <xf numFmtId="41" fontId="40" fillId="33" borderId="15" xfId="0" applyNumberFormat="1" applyFont="1" applyFill="1" applyBorder="1" applyAlignment="1">
      <alignment horizontal="center"/>
    </xf>
    <xf numFmtId="49" fontId="40" fillId="33" borderId="13" xfId="0" applyNumberFormat="1" applyFont="1" applyFill="1" applyBorder="1" applyAlignment="1">
      <alignment horizontal="center"/>
    </xf>
    <xf numFmtId="205" fontId="40" fillId="33" borderId="0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left" indent="5"/>
    </xf>
    <xf numFmtId="3" fontId="40" fillId="33" borderId="0" xfId="0" applyNumberFormat="1" applyFont="1" applyFill="1" applyBorder="1" applyAlignment="1">
      <alignment horizontal="center"/>
    </xf>
    <xf numFmtId="1" fontId="40" fillId="33" borderId="15" xfId="0" applyNumberFormat="1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194" fontId="5" fillId="33" borderId="15" xfId="42" applyNumberFormat="1" applyFont="1" applyFill="1" applyBorder="1" applyAlignment="1">
      <alignment/>
    </xf>
    <xf numFmtId="192" fontId="40" fillId="33" borderId="15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/>
    </xf>
    <xf numFmtId="228" fontId="26" fillId="33" borderId="16" xfId="42" applyNumberFormat="1" applyFont="1" applyFill="1" applyBorder="1" applyAlignment="1">
      <alignment horizontal="center"/>
    </xf>
    <xf numFmtId="228" fontId="26" fillId="33" borderId="16" xfId="42" applyNumberFormat="1" applyFont="1" applyFill="1" applyBorder="1" applyAlignment="1">
      <alignment horizontal="right"/>
    </xf>
    <xf numFmtId="228" fontId="26" fillId="33" borderId="16" xfId="42" applyNumberFormat="1" applyFont="1" applyFill="1" applyBorder="1" applyAlignment="1">
      <alignment horizontal="center" vertical="center"/>
    </xf>
    <xf numFmtId="228" fontId="26" fillId="33" borderId="17" xfId="42" applyNumberFormat="1" applyFont="1" applyFill="1" applyBorder="1" applyAlignment="1">
      <alignment horizontal="center"/>
    </xf>
    <xf numFmtId="228" fontId="26" fillId="33" borderId="17" xfId="42" applyNumberFormat="1" applyFont="1" applyFill="1" applyBorder="1" applyAlignment="1">
      <alignment horizontal="center" vertical="center"/>
    </xf>
    <xf numFmtId="228" fontId="26" fillId="33" borderId="27" xfId="42" applyNumberFormat="1" applyFont="1" applyFill="1" applyBorder="1" applyAlignment="1">
      <alignment horizontal="center" vertical="center"/>
    </xf>
    <xf numFmtId="228" fontId="26" fillId="33" borderId="27" xfId="42" applyNumberFormat="1" applyFont="1" applyFill="1" applyBorder="1" applyAlignment="1">
      <alignment horizontal="right" vertical="center"/>
    </xf>
    <xf numFmtId="194" fontId="23" fillId="0" borderId="0" xfId="0" applyNumberFormat="1" applyFont="1" applyBorder="1" applyAlignment="1">
      <alignment/>
    </xf>
    <xf numFmtId="194" fontId="20" fillId="0" borderId="21" xfId="0" applyNumberFormat="1" applyFont="1" applyBorder="1" applyAlignment="1">
      <alignment/>
    </xf>
    <xf numFmtId="194" fontId="18" fillId="0" borderId="0" xfId="0" applyNumberFormat="1" applyFont="1" applyAlignment="1">
      <alignment/>
    </xf>
    <xf numFmtId="43" fontId="43" fillId="0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209" fontId="5" fillId="33" borderId="17" xfId="42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 indent="4"/>
    </xf>
    <xf numFmtId="205" fontId="5" fillId="33" borderId="15" xfId="42" applyNumberFormat="1" applyFont="1" applyFill="1" applyBorder="1" applyAlignment="1">
      <alignment/>
    </xf>
    <xf numFmtId="209" fontId="5" fillId="33" borderId="15" xfId="42" applyNumberFormat="1" applyFont="1" applyFill="1" applyBorder="1" applyAlignment="1">
      <alignment horizontal="right"/>
    </xf>
    <xf numFmtId="205" fontId="5" fillId="33" borderId="15" xfId="42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205" fontId="5" fillId="33" borderId="14" xfId="42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205" fontId="5" fillId="33" borderId="0" xfId="42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 indent="8"/>
    </xf>
    <xf numFmtId="0" fontId="5" fillId="33" borderId="15" xfId="0" applyFont="1" applyFill="1" applyBorder="1" applyAlignment="1">
      <alignment horizontal="left" indent="5"/>
    </xf>
    <xf numFmtId="209" fontId="5" fillId="33" borderId="15" xfId="42" applyNumberFormat="1" applyFont="1" applyFill="1" applyBorder="1" applyAlignment="1">
      <alignment horizontal="center"/>
    </xf>
    <xf numFmtId="205" fontId="5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2"/>
    </xf>
    <xf numFmtId="20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39" fillId="33" borderId="11" xfId="0" applyFont="1" applyFill="1" applyBorder="1" applyAlignment="1">
      <alignment horizontal="left" indent="2"/>
    </xf>
    <xf numFmtId="43" fontId="5" fillId="33" borderId="15" xfId="42" applyNumberFormat="1" applyFont="1" applyFill="1" applyBorder="1" applyAlignment="1">
      <alignment/>
    </xf>
    <xf numFmtId="43" fontId="38" fillId="33" borderId="14" xfId="0" applyNumberFormat="1" applyFont="1" applyFill="1" applyBorder="1" applyAlignment="1">
      <alignment/>
    </xf>
    <xf numFmtId="43" fontId="38" fillId="33" borderId="14" xfId="42" applyNumberFormat="1" applyFont="1" applyFill="1" applyBorder="1" applyAlignment="1">
      <alignment/>
    </xf>
    <xf numFmtId="4" fontId="5" fillId="33" borderId="15" xfId="42" applyNumberFormat="1" applyFont="1" applyFill="1" applyBorder="1" applyAlignment="1">
      <alignment horizontal="right"/>
    </xf>
    <xf numFmtId="209" fontId="38" fillId="33" borderId="15" xfId="42" applyNumberFormat="1" applyFont="1" applyFill="1" applyBorder="1" applyAlignment="1">
      <alignment horizontal="right"/>
    </xf>
    <xf numFmtId="209" fontId="38" fillId="33" borderId="15" xfId="42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/>
    </xf>
    <xf numFmtId="4" fontId="1" fillId="33" borderId="15" xfId="42" applyNumberFormat="1" applyFont="1" applyFill="1" applyBorder="1" applyAlignment="1">
      <alignment/>
    </xf>
    <xf numFmtId="4" fontId="1" fillId="33" borderId="14" xfId="42" applyNumberFormat="1" applyFont="1" applyFill="1" applyBorder="1" applyAlignment="1">
      <alignment/>
    </xf>
    <xf numFmtId="4" fontId="1" fillId="33" borderId="19" xfId="42" applyNumberFormat="1" applyFont="1" applyFill="1" applyBorder="1" applyAlignment="1">
      <alignment/>
    </xf>
    <xf numFmtId="194" fontId="1" fillId="33" borderId="22" xfId="42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horizontal="left"/>
    </xf>
    <xf numFmtId="4" fontId="40" fillId="33" borderId="24" xfId="42" applyNumberFormat="1" applyFont="1" applyFill="1" applyBorder="1" applyAlignment="1">
      <alignment/>
    </xf>
    <xf numFmtId="205" fontId="40" fillId="33" borderId="13" xfId="42" applyNumberFormat="1" applyFont="1" applyFill="1" applyBorder="1" applyAlignment="1">
      <alignment/>
    </xf>
    <xf numFmtId="0" fontId="40" fillId="33" borderId="11" xfId="0" applyFont="1" applyFill="1" applyBorder="1" applyAlignment="1">
      <alignment horizontal="left" indent="4"/>
    </xf>
    <xf numFmtId="4" fontId="44" fillId="33" borderId="27" xfId="42" applyNumberFormat="1" applyFont="1" applyFill="1" applyBorder="1" applyAlignment="1">
      <alignment horizontal="center"/>
    </xf>
    <xf numFmtId="4" fontId="44" fillId="33" borderId="27" xfId="42" applyNumberFormat="1" applyFont="1" applyFill="1" applyBorder="1" applyAlignment="1">
      <alignment horizontal="center" vertical="center"/>
    </xf>
    <xf numFmtId="228" fontId="44" fillId="33" borderId="27" xfId="42" applyNumberFormat="1" applyFont="1" applyFill="1" applyBorder="1" applyAlignment="1">
      <alignment horizontal="center" vertical="center"/>
    </xf>
    <xf numFmtId="4" fontId="44" fillId="33" borderId="14" xfId="42" applyNumberFormat="1" applyFont="1" applyFill="1" applyBorder="1" applyAlignment="1">
      <alignment horizontal="center"/>
    </xf>
    <xf numFmtId="4" fontId="44" fillId="33" borderId="16" xfId="42" applyNumberFormat="1" applyFont="1" applyFill="1" applyBorder="1" applyAlignment="1">
      <alignment horizontal="center"/>
    </xf>
    <xf numFmtId="4" fontId="44" fillId="33" borderId="30" xfId="42" applyNumberFormat="1" applyFont="1" applyFill="1" applyBorder="1" applyAlignment="1">
      <alignment horizontal="center"/>
    </xf>
    <xf numFmtId="4" fontId="44" fillId="33" borderId="29" xfId="42" applyNumberFormat="1" applyFont="1" applyFill="1" applyBorder="1" applyAlignment="1">
      <alignment horizontal="center" vertical="center"/>
    </xf>
    <xf numFmtId="4" fontId="44" fillId="33" borderId="14" xfId="0" applyNumberFormat="1" applyFont="1" applyFill="1" applyBorder="1" applyAlignment="1">
      <alignment horizontal="right" vertical="center"/>
    </xf>
    <xf numFmtId="4" fontId="44" fillId="33" borderId="27" xfId="42" applyNumberFormat="1" applyFont="1" applyFill="1" applyBorder="1" applyAlignment="1">
      <alignment horizontal="right"/>
    </xf>
    <xf numFmtId="4" fontId="44" fillId="33" borderId="14" xfId="42" applyNumberFormat="1" applyFont="1" applyFill="1" applyBorder="1" applyAlignment="1">
      <alignment horizontal="right"/>
    </xf>
    <xf numFmtId="4" fontId="44" fillId="33" borderId="27" xfId="42" applyNumberFormat="1" applyFont="1" applyFill="1" applyBorder="1" applyAlignment="1">
      <alignment horizontal="right" vertical="center"/>
    </xf>
    <xf numFmtId="192" fontId="5" fillId="33" borderId="15" xfId="42" applyNumberFormat="1" applyFont="1" applyFill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209" fontId="37" fillId="33" borderId="0" xfId="0" applyNumberFormat="1" applyFont="1" applyFill="1" applyAlignment="1">
      <alignment/>
    </xf>
    <xf numFmtId="194" fontId="5" fillId="33" borderId="13" xfId="42" applyNumberFormat="1" applyFont="1" applyFill="1" applyBorder="1" applyAlignment="1">
      <alignment/>
    </xf>
    <xf numFmtId="4" fontId="37" fillId="33" borderId="0" xfId="0" applyNumberFormat="1" applyFont="1" applyFill="1" applyAlignment="1">
      <alignment/>
    </xf>
    <xf numFmtId="209" fontId="87" fillId="33" borderId="0" xfId="0" applyNumberFormat="1" applyFont="1" applyFill="1" applyAlignment="1">
      <alignment/>
    </xf>
    <xf numFmtId="209" fontId="71" fillId="33" borderId="15" xfId="0" applyNumberFormat="1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209" fontId="70" fillId="33" borderId="15" xfId="42" applyNumberFormat="1" applyFont="1" applyFill="1" applyBorder="1" applyAlignment="1">
      <alignment/>
    </xf>
    <xf numFmtId="209" fontId="70" fillId="33" borderId="15" xfId="0" applyNumberFormat="1" applyFont="1" applyFill="1" applyBorder="1" applyAlignment="1">
      <alignment/>
    </xf>
    <xf numFmtId="0" fontId="88" fillId="33" borderId="0" xfId="0" applyFont="1" applyFill="1" applyAlignment="1">
      <alignment/>
    </xf>
    <xf numFmtId="229" fontId="5" fillId="33" borderId="0" xfId="0" applyNumberFormat="1" applyFont="1" applyFill="1" applyBorder="1" applyAlignment="1">
      <alignment/>
    </xf>
    <xf numFmtId="194" fontId="71" fillId="33" borderId="13" xfId="42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43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3" fontId="1" fillId="33" borderId="15" xfId="0" applyNumberFormat="1" applyFont="1" applyFill="1" applyBorder="1" applyAlignment="1">
      <alignment horizontal="center"/>
    </xf>
    <xf numFmtId="43" fontId="1" fillId="33" borderId="14" xfId="0" applyNumberFormat="1" applyFont="1" applyFill="1" applyBorder="1" applyAlignment="1">
      <alignment horizontal="right"/>
    </xf>
    <xf numFmtId="43" fontId="1" fillId="33" borderId="19" xfId="0" applyNumberFormat="1" applyFont="1" applyFill="1" applyBorder="1" applyAlignment="1">
      <alignment/>
    </xf>
    <xf numFmtId="2" fontId="87" fillId="33" borderId="0" xfId="0" applyNumberFormat="1" applyFont="1" applyFill="1" applyAlignment="1">
      <alignment/>
    </xf>
    <xf numFmtId="4" fontId="89" fillId="33" borderId="28" xfId="42" applyNumberFormat="1" applyFont="1" applyFill="1" applyBorder="1" applyAlignment="1">
      <alignment horizontal="center"/>
    </xf>
    <xf numFmtId="4" fontId="89" fillId="33" borderId="27" xfId="42" applyNumberFormat="1" applyFont="1" applyFill="1" applyBorder="1" applyAlignment="1">
      <alignment horizontal="center" vertical="center"/>
    </xf>
    <xf numFmtId="4" fontId="89" fillId="33" borderId="27" xfId="42" applyNumberFormat="1" applyFont="1" applyFill="1" applyBorder="1" applyAlignment="1">
      <alignment horizontal="center"/>
    </xf>
    <xf numFmtId="228" fontId="89" fillId="33" borderId="29" xfId="42" applyNumberFormat="1" applyFont="1" applyFill="1" applyBorder="1" applyAlignment="1">
      <alignment horizontal="center" vertical="center"/>
    </xf>
    <xf numFmtId="228" fontId="89" fillId="33" borderId="27" xfId="42" applyNumberFormat="1" applyFont="1" applyFill="1" applyBorder="1" applyAlignment="1">
      <alignment horizontal="center" vertical="center"/>
    </xf>
    <xf numFmtId="0" fontId="90" fillId="33" borderId="0" xfId="0" applyFont="1" applyFill="1" applyAlignment="1">
      <alignment/>
    </xf>
    <xf numFmtId="0" fontId="5" fillId="33" borderId="34" xfId="0" applyFont="1" applyFill="1" applyBorder="1" applyAlignment="1">
      <alignment/>
    </xf>
    <xf numFmtId="205" fontId="5" fillId="33" borderId="18" xfId="42" applyNumberFormat="1" applyFont="1" applyFill="1" applyBorder="1" applyAlignment="1">
      <alignment/>
    </xf>
    <xf numFmtId="194" fontId="1" fillId="33" borderId="0" xfId="42" applyNumberFormat="1" applyFont="1" applyFill="1" applyBorder="1" applyAlignment="1">
      <alignment horizontal="center"/>
    </xf>
    <xf numFmtId="4" fontId="1" fillId="33" borderId="11" xfId="42" applyNumberFormat="1" applyFont="1" applyFill="1" applyBorder="1" applyAlignment="1">
      <alignment horizontal="right"/>
    </xf>
    <xf numFmtId="4" fontId="1" fillId="33" borderId="22" xfId="42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indent="6"/>
    </xf>
    <xf numFmtId="209" fontId="0" fillId="33" borderId="0" xfId="0" applyNumberFormat="1" applyFill="1" applyAlignment="1">
      <alignment/>
    </xf>
    <xf numFmtId="209" fontId="91" fillId="33" borderId="14" xfId="0" applyNumberFormat="1" applyFont="1" applyFill="1" applyBorder="1" applyAlignment="1">
      <alignment horizontal="right"/>
    </xf>
    <xf numFmtId="209" fontId="91" fillId="33" borderId="14" xfId="42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209" fontId="20" fillId="0" borderId="0" xfId="0" applyNumberFormat="1" applyFont="1" applyAlignment="1">
      <alignment horizontal="right"/>
    </xf>
    <xf numFmtId="209" fontId="23" fillId="0" borderId="0" xfId="0" applyNumberFormat="1" applyFont="1" applyAlignment="1">
      <alignment horizontal="center"/>
    </xf>
    <xf numFmtId="4" fontId="24" fillId="0" borderId="15" xfId="0" applyNumberFormat="1" applyFont="1" applyBorder="1" applyAlignment="1">
      <alignment horizontal="right" vertical="center"/>
    </xf>
    <xf numFmtId="4" fontId="40" fillId="0" borderId="15" xfId="0" applyNumberFormat="1" applyFont="1" applyBorder="1" applyAlignment="1">
      <alignment horizontal="right" vertical="center"/>
    </xf>
    <xf numFmtId="209" fontId="7" fillId="33" borderId="0" xfId="42" applyNumberFormat="1" applyFont="1" applyFill="1" applyBorder="1" applyAlignment="1">
      <alignment/>
    </xf>
    <xf numFmtId="209" fontId="7" fillId="33" borderId="0" xfId="42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209" fontId="7" fillId="33" borderId="15" xfId="42" applyNumberFormat="1" applyFont="1" applyFill="1" applyBorder="1" applyAlignment="1">
      <alignment/>
    </xf>
    <xf numFmtId="0" fontId="1" fillId="33" borderId="10" xfId="0" applyFont="1" applyFill="1" applyBorder="1" applyAlignment="1" quotePrefix="1">
      <alignment horizontal="left" vertical="center"/>
    </xf>
    <xf numFmtId="43" fontId="5" fillId="33" borderId="0" xfId="0" applyNumberFormat="1" applyFont="1" applyFill="1" applyAlignment="1">
      <alignment/>
    </xf>
    <xf numFmtId="4" fontId="1" fillId="33" borderId="17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43" fontId="45" fillId="33" borderId="0" xfId="42" applyFont="1" applyFill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209" fontId="7" fillId="33" borderId="11" xfId="42" applyNumberFormat="1" applyFont="1" applyFill="1" applyBorder="1" applyAlignment="1">
      <alignment horizontal="right"/>
    </xf>
    <xf numFmtId="43" fontId="1" fillId="33" borderId="15" xfId="42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3" fontId="1" fillId="33" borderId="0" xfId="42" applyFont="1" applyFill="1" applyAlignment="1">
      <alignment horizontal="center"/>
    </xf>
    <xf numFmtId="43" fontId="1" fillId="33" borderId="10" xfId="42" applyFont="1" applyFill="1" applyBorder="1" applyAlignment="1">
      <alignment/>
    </xf>
    <xf numFmtId="43" fontId="1" fillId="33" borderId="0" xfId="0" applyNumberFormat="1" applyFont="1" applyFill="1" applyAlignment="1">
      <alignment horizontal="center"/>
    </xf>
    <xf numFmtId="43" fontId="1" fillId="33" borderId="35" xfId="0" applyNumberFormat="1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 quotePrefix="1">
      <alignment horizontal="left" vertical="center"/>
    </xf>
    <xf numFmtId="43" fontId="1" fillId="33" borderId="17" xfId="42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 quotePrefix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22" xfId="0" applyFont="1" applyFill="1" applyBorder="1" applyAlignment="1">
      <alignment horizontal="left"/>
    </xf>
    <xf numFmtId="4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09" fontId="1" fillId="0" borderId="11" xfId="0" applyNumberFormat="1" applyFont="1" applyBorder="1" applyAlignment="1">
      <alignment horizontal="right"/>
    </xf>
    <xf numFmtId="209" fontId="1" fillId="0" borderId="0" xfId="0" applyNumberFormat="1" applyFont="1" applyBorder="1" applyAlignment="1">
      <alignment horizontal="right"/>
    </xf>
    <xf numFmtId="209" fontId="1" fillId="0" borderId="13" xfId="0" applyNumberFormat="1" applyFont="1" applyBorder="1" applyAlignment="1">
      <alignment horizontal="right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09" fontId="19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9" fontId="1" fillId="33" borderId="0" xfId="59" applyFont="1" applyFill="1" applyAlignment="1">
      <alignment horizontal="center"/>
    </xf>
    <xf numFmtId="49" fontId="26" fillId="33" borderId="20" xfId="42" applyNumberFormat="1" applyFont="1" applyFill="1" applyBorder="1" applyAlignment="1">
      <alignment horizontal="center" vertical="center"/>
    </xf>
    <xf numFmtId="49" fontId="26" fillId="33" borderId="18" xfId="42" applyNumberFormat="1" applyFont="1" applyFill="1" applyBorder="1" applyAlignment="1">
      <alignment horizontal="center" vertical="center"/>
    </xf>
    <xf numFmtId="49" fontId="26" fillId="33" borderId="17" xfId="42" applyNumberFormat="1" applyFont="1" applyFill="1" applyBorder="1" applyAlignment="1">
      <alignment horizontal="center" vertical="center"/>
    </xf>
    <xf numFmtId="49" fontId="26" fillId="33" borderId="14" xfId="42" applyNumberFormat="1" applyFont="1" applyFill="1" applyBorder="1" applyAlignment="1">
      <alignment horizontal="center" vertical="center"/>
    </xf>
    <xf numFmtId="49" fontId="26" fillId="33" borderId="34" xfId="42" applyNumberFormat="1" applyFont="1" applyFill="1" applyBorder="1" applyAlignment="1">
      <alignment horizontal="center"/>
    </xf>
    <xf numFmtId="49" fontId="26" fillId="33" borderId="18" xfId="42" applyNumberFormat="1" applyFont="1" applyFill="1" applyBorder="1" applyAlignment="1">
      <alignment horizontal="center"/>
    </xf>
    <xf numFmtId="49" fontId="26" fillId="33" borderId="34" xfId="42" applyNumberFormat="1" applyFont="1" applyFill="1" applyBorder="1" applyAlignment="1">
      <alignment horizontal="center" vertical="center"/>
    </xf>
    <xf numFmtId="49" fontId="25" fillId="33" borderId="17" xfId="42" applyNumberFormat="1" applyFont="1" applyFill="1" applyBorder="1" applyAlignment="1">
      <alignment horizontal="right" vertical="center"/>
    </xf>
    <xf numFmtId="49" fontId="25" fillId="33" borderId="14" xfId="42" applyNumberFormat="1" applyFont="1" applyFill="1" applyBorder="1" applyAlignment="1">
      <alignment horizontal="right" vertical="center"/>
    </xf>
    <xf numFmtId="43" fontId="24" fillId="33" borderId="0" xfId="42" applyFont="1" applyFill="1" applyAlignment="1">
      <alignment horizontal="center"/>
    </xf>
    <xf numFmtId="49" fontId="26" fillId="33" borderId="20" xfId="42" applyNumberFormat="1" applyFont="1" applyFill="1" applyBorder="1" applyAlignment="1">
      <alignment horizontal="center"/>
    </xf>
    <xf numFmtId="49" fontId="25" fillId="33" borderId="17" xfId="42" applyNumberFormat="1" applyFont="1" applyFill="1" applyBorder="1" applyAlignment="1">
      <alignment horizontal="center" vertical="center"/>
    </xf>
    <xf numFmtId="49" fontId="25" fillId="33" borderId="14" xfId="42" applyNumberFormat="1" applyFont="1" applyFill="1" applyBorder="1" applyAlignment="1">
      <alignment horizontal="center" vertical="center"/>
    </xf>
    <xf numFmtId="43" fontId="24" fillId="33" borderId="0" xfId="42" applyFont="1" applyFill="1" applyBorder="1" applyAlignment="1">
      <alignment horizontal="center"/>
    </xf>
    <xf numFmtId="0" fontId="40" fillId="33" borderId="0" xfId="0" applyFont="1" applyFill="1" applyAlignment="1">
      <alignment horizontal="right"/>
    </xf>
    <xf numFmtId="0" fontId="41" fillId="33" borderId="0" xfId="0" applyFont="1" applyFill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34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left" indent="5"/>
    </xf>
    <xf numFmtId="0" fontId="5" fillId="33" borderId="0" xfId="0" applyFont="1" applyFill="1" applyBorder="1" applyAlignment="1">
      <alignment horizontal="left" indent="5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indent="2"/>
    </xf>
    <xf numFmtId="0" fontId="5" fillId="33" borderId="0" xfId="0" applyFont="1" applyFill="1" applyBorder="1" applyAlignment="1">
      <alignment horizontal="left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64</xdr:row>
      <xdr:rowOff>123825</xdr:rowOff>
    </xdr:from>
    <xdr:ext cx="1590675" cy="771525"/>
    <xdr:sp>
      <xdr:nvSpPr>
        <xdr:cNvPr id="1" name="Text Box 11"/>
        <xdr:cNvSpPr txBox="1">
          <a:spLocks noChangeArrowheads="1"/>
        </xdr:cNvSpPr>
      </xdr:nvSpPr>
      <xdr:spPr>
        <a:xfrm>
          <a:off x="2562225" y="18411825"/>
          <a:ext cx="1590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6</xdr:col>
      <xdr:colOff>1143000</xdr:colOff>
      <xdr:row>64</xdr:row>
      <xdr:rowOff>76200</xdr:rowOff>
    </xdr:from>
    <xdr:ext cx="2514600" cy="1057275"/>
    <xdr:sp>
      <xdr:nvSpPr>
        <xdr:cNvPr id="2" name="Text Box 13"/>
        <xdr:cNvSpPr txBox="1">
          <a:spLocks noChangeArrowheads="1"/>
        </xdr:cNvSpPr>
      </xdr:nvSpPr>
      <xdr:spPr>
        <a:xfrm>
          <a:off x="7248525" y="18364200"/>
          <a:ext cx="25146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0</xdr:col>
      <xdr:colOff>66675</xdr:colOff>
      <xdr:row>43</xdr:row>
      <xdr:rowOff>19050</xdr:rowOff>
    </xdr:from>
    <xdr:ext cx="1724025" cy="933450"/>
    <xdr:sp>
      <xdr:nvSpPr>
        <xdr:cNvPr id="3" name="Text Box 5"/>
        <xdr:cNvSpPr txBox="1">
          <a:spLocks noChangeArrowheads="1"/>
        </xdr:cNvSpPr>
      </xdr:nvSpPr>
      <xdr:spPr>
        <a:xfrm>
          <a:off x="66675" y="12477750"/>
          <a:ext cx="172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3</xdr:col>
      <xdr:colOff>209550</xdr:colOff>
      <xdr:row>43</xdr:row>
      <xdr:rowOff>57150</xdr:rowOff>
    </xdr:from>
    <xdr:ext cx="2200275" cy="895350"/>
    <xdr:sp>
      <xdr:nvSpPr>
        <xdr:cNvPr id="4" name="Text Box 12"/>
        <xdr:cNvSpPr txBox="1">
          <a:spLocks noChangeArrowheads="1"/>
        </xdr:cNvSpPr>
      </xdr:nvSpPr>
      <xdr:spPr>
        <a:xfrm>
          <a:off x="2038350" y="12515850"/>
          <a:ext cx="22002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ปลัดเทศตำบลท่าสาย</a:t>
          </a:r>
        </a:p>
      </xdr:txBody>
    </xdr:sp>
    <xdr:clientData/>
  </xdr:oneCellAnchor>
  <xdr:oneCellAnchor>
    <xdr:from>
      <xdr:col>4</xdr:col>
      <xdr:colOff>714375</xdr:colOff>
      <xdr:row>42</xdr:row>
      <xdr:rowOff>257175</xdr:rowOff>
    </xdr:from>
    <xdr:ext cx="2647950" cy="1000125"/>
    <xdr:sp>
      <xdr:nvSpPr>
        <xdr:cNvPr id="5" name="Text Box 12"/>
        <xdr:cNvSpPr txBox="1">
          <a:spLocks noChangeArrowheads="1"/>
        </xdr:cNvSpPr>
      </xdr:nvSpPr>
      <xdr:spPr>
        <a:xfrm>
          <a:off x="4629150" y="12430125"/>
          <a:ext cx="26479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67300" y="1011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(นางจันทรา  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หัวหน้าส่วนการคลัง</a:t>
          </a:r>
        </a:p>
      </xdr:txBody>
    </xdr:sp>
    <xdr:clientData/>
  </xdr:twoCellAnchor>
  <xdr:twoCellAnchor>
    <xdr:from>
      <xdr:col>2</xdr:col>
      <xdr:colOff>866775</xdr:colOff>
      <xdr:row>5</xdr:row>
      <xdr:rowOff>9525</xdr:rowOff>
    </xdr:from>
    <xdr:to>
      <xdr:col>2</xdr:col>
      <xdr:colOff>866775</xdr:colOff>
      <xdr:row>20</xdr:row>
      <xdr:rowOff>0</xdr:rowOff>
    </xdr:to>
    <xdr:sp>
      <xdr:nvSpPr>
        <xdr:cNvPr id="2" name="Straight Connector 5"/>
        <xdr:cNvSpPr>
          <a:spLocks/>
        </xdr:cNvSpPr>
      </xdr:nvSpPr>
      <xdr:spPr>
        <a:xfrm rot="5400000">
          <a:off x="4895850" y="143827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5</xdr:row>
      <xdr:rowOff>0</xdr:rowOff>
    </xdr:from>
    <xdr:to>
      <xdr:col>3</xdr:col>
      <xdr:colOff>771525</xdr:colOff>
      <xdr:row>19</xdr:row>
      <xdr:rowOff>276225</xdr:rowOff>
    </xdr:to>
    <xdr:sp>
      <xdr:nvSpPr>
        <xdr:cNvPr id="3" name="Straight Connector 6"/>
        <xdr:cNvSpPr>
          <a:spLocks/>
        </xdr:cNvSpPr>
      </xdr:nvSpPr>
      <xdr:spPr>
        <a:xfrm rot="5400000">
          <a:off x="5838825" y="1428750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41</xdr:row>
      <xdr:rowOff>0</xdr:rowOff>
    </xdr:from>
    <xdr:to>
      <xdr:col>2</xdr:col>
      <xdr:colOff>866775</xdr:colOff>
      <xdr:row>51</xdr:row>
      <xdr:rowOff>0</xdr:rowOff>
    </xdr:to>
    <xdr:sp>
      <xdr:nvSpPr>
        <xdr:cNvPr id="4" name="Straight Connector 7"/>
        <xdr:cNvSpPr>
          <a:spLocks/>
        </xdr:cNvSpPr>
      </xdr:nvSpPr>
      <xdr:spPr>
        <a:xfrm rot="5400000">
          <a:off x="4895850" y="11820525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41</xdr:row>
      <xdr:rowOff>9525</xdr:rowOff>
    </xdr:from>
    <xdr:to>
      <xdr:col>3</xdr:col>
      <xdr:colOff>771525</xdr:colOff>
      <xdr:row>51</xdr:row>
      <xdr:rowOff>9525</xdr:rowOff>
    </xdr:to>
    <xdr:sp>
      <xdr:nvSpPr>
        <xdr:cNvPr id="5" name="Straight Connector 8"/>
        <xdr:cNvSpPr>
          <a:spLocks/>
        </xdr:cNvSpPr>
      </xdr:nvSpPr>
      <xdr:spPr>
        <a:xfrm rot="5400000">
          <a:off x="5838825" y="11830050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77</xdr:row>
      <xdr:rowOff>0</xdr:rowOff>
    </xdr:from>
    <xdr:to>
      <xdr:col>2</xdr:col>
      <xdr:colOff>866775</xdr:colOff>
      <xdr:row>87</xdr:row>
      <xdr:rowOff>0</xdr:rowOff>
    </xdr:to>
    <xdr:sp>
      <xdr:nvSpPr>
        <xdr:cNvPr id="6" name="Straight Connector 9"/>
        <xdr:cNvSpPr>
          <a:spLocks/>
        </xdr:cNvSpPr>
      </xdr:nvSpPr>
      <xdr:spPr>
        <a:xfrm rot="5400000">
          <a:off x="4895850" y="22117050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76</xdr:row>
      <xdr:rowOff>266700</xdr:rowOff>
    </xdr:from>
    <xdr:to>
      <xdr:col>3</xdr:col>
      <xdr:colOff>771525</xdr:colOff>
      <xdr:row>86</xdr:row>
      <xdr:rowOff>266700</xdr:rowOff>
    </xdr:to>
    <xdr:sp>
      <xdr:nvSpPr>
        <xdr:cNvPr id="7" name="Straight Connector 10"/>
        <xdr:cNvSpPr>
          <a:spLocks/>
        </xdr:cNvSpPr>
      </xdr:nvSpPr>
      <xdr:spPr>
        <a:xfrm rot="5400000">
          <a:off x="5838825" y="22098000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876300</xdr:colOff>
      <xdr:row>149</xdr:row>
      <xdr:rowOff>19050</xdr:rowOff>
    </xdr:from>
    <xdr:to>
      <xdr:col>2</xdr:col>
      <xdr:colOff>876300</xdr:colOff>
      <xdr:row>158</xdr:row>
      <xdr:rowOff>276225</xdr:rowOff>
    </xdr:to>
    <xdr:sp>
      <xdr:nvSpPr>
        <xdr:cNvPr id="8" name="ตัวเชื่อมต่อตรง 14"/>
        <xdr:cNvSpPr>
          <a:spLocks/>
        </xdr:cNvSpPr>
      </xdr:nvSpPr>
      <xdr:spPr>
        <a:xfrm rot="5400000">
          <a:off x="4905375" y="4272915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781050</xdr:colOff>
      <xdr:row>149</xdr:row>
      <xdr:rowOff>0</xdr:rowOff>
    </xdr:from>
    <xdr:to>
      <xdr:col>3</xdr:col>
      <xdr:colOff>781050</xdr:colOff>
      <xdr:row>158</xdr:row>
      <xdr:rowOff>257175</xdr:rowOff>
    </xdr:to>
    <xdr:sp>
      <xdr:nvSpPr>
        <xdr:cNvPr id="9" name="ตัวเชื่อมต่อตรง 15"/>
        <xdr:cNvSpPr>
          <a:spLocks/>
        </xdr:cNvSpPr>
      </xdr:nvSpPr>
      <xdr:spPr>
        <a:xfrm rot="5400000">
          <a:off x="5848350" y="427101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7</xdr:row>
      <xdr:rowOff>238125</xdr:rowOff>
    </xdr:from>
    <xdr:to>
      <xdr:col>1</xdr:col>
      <xdr:colOff>952500</xdr:colOff>
      <xdr:row>24</xdr:row>
      <xdr:rowOff>266700</xdr:rowOff>
    </xdr:to>
    <xdr:sp>
      <xdr:nvSpPr>
        <xdr:cNvPr id="2" name="Line 124"/>
        <xdr:cNvSpPr>
          <a:spLocks/>
        </xdr:cNvSpPr>
      </xdr:nvSpPr>
      <xdr:spPr>
        <a:xfrm>
          <a:off x="2038350" y="2676525"/>
          <a:ext cx="0" cy="506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7</xdr:row>
      <xdr:rowOff>285750</xdr:rowOff>
    </xdr:from>
    <xdr:to>
      <xdr:col>6</xdr:col>
      <xdr:colOff>904875</xdr:colOff>
      <xdr:row>25</xdr:row>
      <xdr:rowOff>9525</xdr:rowOff>
    </xdr:to>
    <xdr:sp>
      <xdr:nvSpPr>
        <xdr:cNvPr id="3" name="Line 125"/>
        <xdr:cNvSpPr>
          <a:spLocks/>
        </xdr:cNvSpPr>
      </xdr:nvSpPr>
      <xdr:spPr>
        <a:xfrm>
          <a:off x="6010275" y="2724150"/>
          <a:ext cx="0" cy="506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38</xdr:row>
      <xdr:rowOff>276225</xdr:rowOff>
    </xdr:from>
    <xdr:to>
      <xdr:col>0</xdr:col>
      <xdr:colOff>885825</xdr:colOff>
      <xdr:row>51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1906250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39</xdr:row>
      <xdr:rowOff>0</xdr:rowOff>
    </xdr:from>
    <xdr:to>
      <xdr:col>1</xdr:col>
      <xdr:colOff>952500</xdr:colOff>
      <xdr:row>66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192530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38</xdr:row>
      <xdr:rowOff>285750</xdr:rowOff>
    </xdr:from>
    <xdr:to>
      <xdr:col>6</xdr:col>
      <xdr:colOff>904875</xdr:colOff>
      <xdr:row>65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191577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876300</xdr:colOff>
      <xdr:row>9</xdr:row>
      <xdr:rowOff>0</xdr:rowOff>
    </xdr:from>
    <xdr:to>
      <xdr:col>0</xdr:col>
      <xdr:colOff>876300</xdr:colOff>
      <xdr:row>17</xdr:row>
      <xdr:rowOff>0</xdr:rowOff>
    </xdr:to>
    <xdr:sp>
      <xdr:nvSpPr>
        <xdr:cNvPr id="7" name="Line 122"/>
        <xdr:cNvSpPr>
          <a:spLocks/>
        </xdr:cNvSpPr>
      </xdr:nvSpPr>
      <xdr:spPr>
        <a:xfrm>
          <a:off x="876300" y="3028950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38100</xdr:colOff>
      <xdr:row>68</xdr:row>
      <xdr:rowOff>209550</xdr:rowOff>
    </xdr:from>
    <xdr:ext cx="1790700" cy="866775"/>
    <xdr:sp>
      <xdr:nvSpPr>
        <xdr:cNvPr id="8" name="Text Box 5"/>
        <xdr:cNvSpPr txBox="1">
          <a:spLocks noChangeArrowheads="1"/>
        </xdr:cNvSpPr>
      </xdr:nvSpPr>
      <xdr:spPr>
        <a:xfrm>
          <a:off x="38100" y="20735925"/>
          <a:ext cx="17907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4</xdr:col>
      <xdr:colOff>523875</xdr:colOff>
      <xdr:row>68</xdr:row>
      <xdr:rowOff>190500</xdr:rowOff>
    </xdr:from>
    <xdr:ext cx="1952625" cy="990600"/>
    <xdr:sp>
      <xdr:nvSpPr>
        <xdr:cNvPr id="9" name="Text Box 12"/>
        <xdr:cNvSpPr txBox="1">
          <a:spLocks noChangeArrowheads="1"/>
        </xdr:cNvSpPr>
      </xdr:nvSpPr>
      <xdr:spPr>
        <a:xfrm>
          <a:off x="4191000" y="20716875"/>
          <a:ext cx="19526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ปลัดเทศตำบลท่าสาย</a:t>
          </a:r>
        </a:p>
      </xdr:txBody>
    </xdr:sp>
    <xdr:clientData/>
  </xdr:oneCellAnchor>
  <xdr:oneCellAnchor>
    <xdr:from>
      <xdr:col>1</xdr:col>
      <xdr:colOff>647700</xdr:colOff>
      <xdr:row>68</xdr:row>
      <xdr:rowOff>133350</xdr:rowOff>
    </xdr:from>
    <xdr:ext cx="2838450" cy="990600"/>
    <xdr:sp>
      <xdr:nvSpPr>
        <xdr:cNvPr id="10" name="Text Box 12"/>
        <xdr:cNvSpPr txBox="1">
          <a:spLocks noChangeArrowheads="1"/>
        </xdr:cNvSpPr>
      </xdr:nvSpPr>
      <xdr:spPr>
        <a:xfrm>
          <a:off x="1733550" y="20659725"/>
          <a:ext cx="2838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0</xdr:rowOff>
    </xdr:from>
    <xdr:ext cx="2800350" cy="942975"/>
    <xdr:sp>
      <xdr:nvSpPr>
        <xdr:cNvPr id="1" name="Text Box 5"/>
        <xdr:cNvSpPr txBox="1">
          <a:spLocks noChangeArrowheads="1"/>
        </xdr:cNvSpPr>
      </xdr:nvSpPr>
      <xdr:spPr>
        <a:xfrm>
          <a:off x="485775" y="9144000"/>
          <a:ext cx="2800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6</xdr:col>
      <xdr:colOff>1190625</xdr:colOff>
      <xdr:row>27</xdr:row>
      <xdr:rowOff>285750</xdr:rowOff>
    </xdr:from>
    <xdr:ext cx="3248025" cy="1028700"/>
    <xdr:sp>
      <xdr:nvSpPr>
        <xdr:cNvPr id="2" name="Text Box 12"/>
        <xdr:cNvSpPr txBox="1">
          <a:spLocks noChangeArrowheads="1"/>
        </xdr:cNvSpPr>
      </xdr:nvSpPr>
      <xdr:spPr>
        <a:xfrm>
          <a:off x="5276850" y="9134475"/>
          <a:ext cx="32480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2800350" cy="952500"/>
    <xdr:sp>
      <xdr:nvSpPr>
        <xdr:cNvPr id="3" name="Text Box 5"/>
        <xdr:cNvSpPr txBox="1">
          <a:spLocks noChangeArrowheads="1"/>
        </xdr:cNvSpPr>
      </xdr:nvSpPr>
      <xdr:spPr>
        <a:xfrm>
          <a:off x="485775" y="19211925"/>
          <a:ext cx="28003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6</xdr:col>
      <xdr:colOff>1123950</xdr:colOff>
      <xdr:row>61</xdr:row>
      <xdr:rowOff>123825</xdr:rowOff>
    </xdr:from>
    <xdr:ext cx="3248025" cy="1038225"/>
    <xdr:sp>
      <xdr:nvSpPr>
        <xdr:cNvPr id="4" name="Text Box 12"/>
        <xdr:cNvSpPr txBox="1">
          <a:spLocks noChangeArrowheads="1"/>
        </xdr:cNvSpPr>
      </xdr:nvSpPr>
      <xdr:spPr>
        <a:xfrm>
          <a:off x="5210175" y="19335750"/>
          <a:ext cx="32480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4</xdr:col>
      <xdr:colOff>561975</xdr:colOff>
      <xdr:row>32</xdr:row>
      <xdr:rowOff>114300</xdr:rowOff>
    </xdr:from>
    <xdr:ext cx="3105150" cy="1428750"/>
    <xdr:sp>
      <xdr:nvSpPr>
        <xdr:cNvPr id="5" name="Text Box 12"/>
        <xdr:cNvSpPr txBox="1">
          <a:spLocks noChangeArrowheads="1"/>
        </xdr:cNvSpPr>
      </xdr:nvSpPr>
      <xdr:spPr>
        <a:xfrm>
          <a:off x="2914650" y="10420350"/>
          <a:ext cx="310515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  <xdr:oneCellAnchor>
    <xdr:from>
      <xdr:col>4</xdr:col>
      <xdr:colOff>371475</xdr:colOff>
      <xdr:row>63</xdr:row>
      <xdr:rowOff>114300</xdr:rowOff>
    </xdr:from>
    <xdr:ext cx="3105150" cy="1390650"/>
    <xdr:sp>
      <xdr:nvSpPr>
        <xdr:cNvPr id="6" name="Text Box 12"/>
        <xdr:cNvSpPr txBox="1">
          <a:spLocks noChangeArrowheads="1"/>
        </xdr:cNvSpPr>
      </xdr:nvSpPr>
      <xdr:spPr>
        <a:xfrm>
          <a:off x="2724150" y="19916775"/>
          <a:ext cx="31051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1933575</xdr:colOff>
      <xdr:row>73</xdr:row>
      <xdr:rowOff>57150</xdr:rowOff>
    </xdr:from>
    <xdr:ext cx="3114675" cy="990600"/>
    <xdr:sp>
      <xdr:nvSpPr>
        <xdr:cNvPr id="1" name="Text Box 15"/>
        <xdr:cNvSpPr txBox="1">
          <a:spLocks noChangeArrowheads="1"/>
        </xdr:cNvSpPr>
      </xdr:nvSpPr>
      <xdr:spPr>
        <a:xfrm>
          <a:off x="2543175" y="21193125"/>
          <a:ext cx="31146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2419350" cy="952500"/>
    <xdr:sp>
      <xdr:nvSpPr>
        <xdr:cNvPr id="2" name="Text Box 5"/>
        <xdr:cNvSpPr txBox="1">
          <a:spLocks noChangeArrowheads="1"/>
        </xdr:cNvSpPr>
      </xdr:nvSpPr>
      <xdr:spPr>
        <a:xfrm>
          <a:off x="609600" y="6915150"/>
          <a:ext cx="24193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2</xdr:col>
      <xdr:colOff>95250</xdr:colOff>
      <xdr:row>24</xdr:row>
      <xdr:rowOff>85725</xdr:rowOff>
    </xdr:from>
    <xdr:ext cx="3248025" cy="1038225"/>
    <xdr:sp>
      <xdr:nvSpPr>
        <xdr:cNvPr id="3" name="Text Box 12"/>
        <xdr:cNvSpPr txBox="1">
          <a:spLocks noChangeArrowheads="1"/>
        </xdr:cNvSpPr>
      </xdr:nvSpPr>
      <xdr:spPr>
        <a:xfrm>
          <a:off x="4962525" y="7000875"/>
          <a:ext cx="32480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1</xdr:col>
      <xdr:colOff>2085975</xdr:colOff>
      <xdr:row>28</xdr:row>
      <xdr:rowOff>228600</xdr:rowOff>
    </xdr:from>
    <xdr:ext cx="3105150" cy="1400175"/>
    <xdr:sp>
      <xdr:nvSpPr>
        <xdr:cNvPr id="4" name="Text Box 12"/>
        <xdr:cNvSpPr txBox="1">
          <a:spLocks noChangeArrowheads="1"/>
        </xdr:cNvSpPr>
      </xdr:nvSpPr>
      <xdr:spPr>
        <a:xfrm>
          <a:off x="2695575" y="8324850"/>
          <a:ext cx="31051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  <xdr:oneCellAnchor>
    <xdr:from>
      <xdr:col>2</xdr:col>
      <xdr:colOff>714375</xdr:colOff>
      <xdr:row>73</xdr:row>
      <xdr:rowOff>104775</xdr:rowOff>
    </xdr:from>
    <xdr:ext cx="2790825" cy="1114425"/>
    <xdr:sp>
      <xdr:nvSpPr>
        <xdr:cNvPr id="5" name="Text Box 12"/>
        <xdr:cNvSpPr txBox="1">
          <a:spLocks noChangeArrowheads="1"/>
        </xdr:cNvSpPr>
      </xdr:nvSpPr>
      <xdr:spPr>
        <a:xfrm>
          <a:off x="5581650" y="21240750"/>
          <a:ext cx="27908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  <xdr:oneCellAnchor>
    <xdr:from>
      <xdr:col>0</xdr:col>
      <xdr:colOff>152400</xdr:colOff>
      <xdr:row>73</xdr:row>
      <xdr:rowOff>142875</xdr:rowOff>
    </xdr:from>
    <xdr:ext cx="2419350" cy="933450"/>
    <xdr:sp>
      <xdr:nvSpPr>
        <xdr:cNvPr id="6" name="Text Box 5"/>
        <xdr:cNvSpPr txBox="1">
          <a:spLocks noChangeArrowheads="1"/>
        </xdr:cNvSpPr>
      </xdr:nvSpPr>
      <xdr:spPr>
        <a:xfrm>
          <a:off x="152400" y="21278850"/>
          <a:ext cx="24193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18</xdr:row>
      <xdr:rowOff>285750</xdr:rowOff>
    </xdr:from>
    <xdr:ext cx="2800350" cy="1438275"/>
    <xdr:sp>
      <xdr:nvSpPr>
        <xdr:cNvPr id="1" name="Text Box 5"/>
        <xdr:cNvSpPr txBox="1">
          <a:spLocks noChangeArrowheads="1"/>
        </xdr:cNvSpPr>
      </xdr:nvSpPr>
      <xdr:spPr>
        <a:xfrm>
          <a:off x="1190625" y="5486400"/>
          <a:ext cx="28003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4</xdr:col>
      <xdr:colOff>1905000</xdr:colOff>
      <xdr:row>18</xdr:row>
      <xdr:rowOff>257175</xdr:rowOff>
    </xdr:from>
    <xdr:ext cx="3248025" cy="1038225"/>
    <xdr:sp>
      <xdr:nvSpPr>
        <xdr:cNvPr id="2" name="Text Box 12"/>
        <xdr:cNvSpPr txBox="1">
          <a:spLocks noChangeArrowheads="1"/>
        </xdr:cNvSpPr>
      </xdr:nvSpPr>
      <xdr:spPr>
        <a:xfrm>
          <a:off x="4762500" y="5457825"/>
          <a:ext cx="32480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ปลัดเทศตำบลท่าสาย</a:t>
          </a:r>
        </a:p>
      </xdr:txBody>
    </xdr:sp>
    <xdr:clientData/>
  </xdr:oneCellAnchor>
  <xdr:oneCellAnchor>
    <xdr:from>
      <xdr:col>3</xdr:col>
      <xdr:colOff>609600</xdr:colOff>
      <xdr:row>23</xdr:row>
      <xdr:rowOff>276225</xdr:rowOff>
    </xdr:from>
    <xdr:ext cx="3105150" cy="1400175"/>
    <xdr:sp>
      <xdr:nvSpPr>
        <xdr:cNvPr id="3" name="Text Box 12"/>
        <xdr:cNvSpPr txBox="1">
          <a:spLocks noChangeArrowheads="1"/>
        </xdr:cNvSpPr>
      </xdr:nvSpPr>
      <xdr:spPr>
        <a:xfrm>
          <a:off x="2647950" y="7058025"/>
          <a:ext cx="31051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38100</xdr:rowOff>
    </xdr:from>
    <xdr:ext cx="2800350" cy="1438275"/>
    <xdr:sp>
      <xdr:nvSpPr>
        <xdr:cNvPr id="1" name="Text Box 5"/>
        <xdr:cNvSpPr txBox="1">
          <a:spLocks noChangeArrowheads="1"/>
        </xdr:cNvSpPr>
      </xdr:nvSpPr>
      <xdr:spPr>
        <a:xfrm>
          <a:off x="0" y="6257925"/>
          <a:ext cx="28003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3</xdr:col>
      <xdr:colOff>866775</xdr:colOff>
      <xdr:row>19</xdr:row>
      <xdr:rowOff>57150</xdr:rowOff>
    </xdr:from>
    <xdr:ext cx="3009900" cy="1038225"/>
    <xdr:sp>
      <xdr:nvSpPr>
        <xdr:cNvPr id="2" name="Text Box 12"/>
        <xdr:cNvSpPr txBox="1">
          <a:spLocks noChangeArrowheads="1"/>
        </xdr:cNvSpPr>
      </xdr:nvSpPr>
      <xdr:spPr>
        <a:xfrm>
          <a:off x="3086100" y="6276975"/>
          <a:ext cx="30099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ปลัดเทศตำบลท่าสาย</a:t>
          </a:r>
        </a:p>
      </xdr:txBody>
    </xdr:sp>
    <xdr:clientData/>
  </xdr:oneCellAnchor>
  <xdr:oneCellAnchor>
    <xdr:from>
      <xdr:col>1</xdr:col>
      <xdr:colOff>647700</xdr:colOff>
      <xdr:row>23</xdr:row>
      <xdr:rowOff>209550</xdr:rowOff>
    </xdr:from>
    <xdr:ext cx="3048000" cy="1285875"/>
    <xdr:sp>
      <xdr:nvSpPr>
        <xdr:cNvPr id="3" name="Text Box 12"/>
        <xdr:cNvSpPr txBox="1">
          <a:spLocks noChangeArrowheads="1"/>
        </xdr:cNvSpPr>
      </xdr:nvSpPr>
      <xdr:spPr>
        <a:xfrm>
          <a:off x="1276350" y="7610475"/>
          <a:ext cx="30480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7</xdr:col>
      <xdr:colOff>0</xdr:colOff>
      <xdr:row>1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077075" y="0"/>
          <a:ext cx="11334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(หมายเหตุ  6)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)</a:t>
          </a:r>
        </a:p>
      </xdr:txBody>
    </xdr:sp>
    <xdr:clientData/>
  </xdr:twoCellAnchor>
  <xdr:oneCellAnchor>
    <xdr:from>
      <xdr:col>0</xdr:col>
      <xdr:colOff>0</xdr:colOff>
      <xdr:row>24</xdr:row>
      <xdr:rowOff>304800</xdr:rowOff>
    </xdr:from>
    <xdr:ext cx="2562225" cy="1247775"/>
    <xdr:sp>
      <xdr:nvSpPr>
        <xdr:cNvPr id="2" name="Text Box 5"/>
        <xdr:cNvSpPr txBox="1">
          <a:spLocks noChangeArrowheads="1"/>
        </xdr:cNvSpPr>
      </xdr:nvSpPr>
      <xdr:spPr>
        <a:xfrm>
          <a:off x="0" y="7400925"/>
          <a:ext cx="25622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4</xdr:col>
      <xdr:colOff>485775</xdr:colOff>
      <xdr:row>25</xdr:row>
      <xdr:rowOff>38100</xdr:rowOff>
    </xdr:from>
    <xdr:ext cx="2981325" cy="1409700"/>
    <xdr:sp>
      <xdr:nvSpPr>
        <xdr:cNvPr id="3" name="Text Box 12"/>
        <xdr:cNvSpPr txBox="1">
          <a:spLocks noChangeArrowheads="1"/>
        </xdr:cNvSpPr>
      </xdr:nvSpPr>
      <xdr:spPr>
        <a:xfrm>
          <a:off x="5181600" y="7439025"/>
          <a:ext cx="29813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2</xdr:col>
      <xdr:colOff>2009775</xdr:colOff>
      <xdr:row>27</xdr:row>
      <xdr:rowOff>66675</xdr:rowOff>
    </xdr:from>
    <xdr:ext cx="3048000" cy="1219200"/>
    <xdr:sp>
      <xdr:nvSpPr>
        <xdr:cNvPr id="4" name="Text Box 12"/>
        <xdr:cNvSpPr txBox="1">
          <a:spLocks noChangeArrowheads="1"/>
        </xdr:cNvSpPr>
      </xdr:nvSpPr>
      <xdr:spPr>
        <a:xfrm>
          <a:off x="2305050" y="8058150"/>
          <a:ext cx="30480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117</xdr:row>
      <xdr:rowOff>85725</xdr:rowOff>
    </xdr:from>
    <xdr:ext cx="2143125" cy="952500"/>
    <xdr:sp>
      <xdr:nvSpPr>
        <xdr:cNvPr id="1" name="Text Box 5"/>
        <xdr:cNvSpPr txBox="1">
          <a:spLocks noChangeArrowheads="1"/>
        </xdr:cNvSpPr>
      </xdr:nvSpPr>
      <xdr:spPr>
        <a:xfrm>
          <a:off x="3838575" y="32880300"/>
          <a:ext cx="2143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11</xdr:col>
      <xdr:colOff>0</xdr:colOff>
      <xdr:row>117</xdr:row>
      <xdr:rowOff>171450</xdr:rowOff>
    </xdr:from>
    <xdr:ext cx="2705100" cy="895350"/>
    <xdr:sp>
      <xdr:nvSpPr>
        <xdr:cNvPr id="2" name="Text Box 12"/>
        <xdr:cNvSpPr txBox="1">
          <a:spLocks noChangeArrowheads="1"/>
        </xdr:cNvSpPr>
      </xdr:nvSpPr>
      <xdr:spPr>
        <a:xfrm>
          <a:off x="8524875" y="32966025"/>
          <a:ext cx="2705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20</xdr:col>
      <xdr:colOff>228600</xdr:colOff>
      <xdr:row>117</xdr:row>
      <xdr:rowOff>171450</xdr:rowOff>
    </xdr:from>
    <xdr:ext cx="2914650" cy="962025"/>
    <xdr:sp>
      <xdr:nvSpPr>
        <xdr:cNvPr id="3" name="Text Box 12"/>
        <xdr:cNvSpPr txBox="1">
          <a:spLocks noChangeArrowheads="1"/>
        </xdr:cNvSpPr>
      </xdr:nvSpPr>
      <xdr:spPr>
        <a:xfrm>
          <a:off x="14011275" y="32966025"/>
          <a:ext cx="29146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5</xdr:row>
      <xdr:rowOff>0</xdr:rowOff>
    </xdr:from>
    <xdr:to>
      <xdr:col>2</xdr:col>
      <xdr:colOff>914400</xdr:colOff>
      <xdr:row>41</xdr:row>
      <xdr:rowOff>9525</xdr:rowOff>
    </xdr:to>
    <xdr:sp>
      <xdr:nvSpPr>
        <xdr:cNvPr id="1" name="Line 1"/>
        <xdr:cNvSpPr>
          <a:spLocks/>
        </xdr:cNvSpPr>
      </xdr:nvSpPr>
      <xdr:spPr>
        <a:xfrm>
          <a:off x="6696075" y="1476375"/>
          <a:ext cx="0" cy="1062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</xdr:row>
      <xdr:rowOff>0</xdr:rowOff>
    </xdr:from>
    <xdr:to>
      <xdr:col>3</xdr:col>
      <xdr:colOff>876300</xdr:colOff>
      <xdr:row>41</xdr:row>
      <xdr:rowOff>9525</xdr:rowOff>
    </xdr:to>
    <xdr:sp>
      <xdr:nvSpPr>
        <xdr:cNvPr id="2" name="Line 2"/>
        <xdr:cNvSpPr>
          <a:spLocks/>
        </xdr:cNvSpPr>
      </xdr:nvSpPr>
      <xdr:spPr>
        <a:xfrm>
          <a:off x="7772400" y="1476375"/>
          <a:ext cx="0" cy="1062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54</xdr:row>
      <xdr:rowOff>0</xdr:rowOff>
    </xdr:from>
    <xdr:to>
      <xdr:col>2</xdr:col>
      <xdr:colOff>914400</xdr:colOff>
      <xdr:row>88</xdr:row>
      <xdr:rowOff>9525</xdr:rowOff>
    </xdr:to>
    <xdr:sp>
      <xdr:nvSpPr>
        <xdr:cNvPr id="3" name="Line 1"/>
        <xdr:cNvSpPr>
          <a:spLocks/>
        </xdr:cNvSpPr>
      </xdr:nvSpPr>
      <xdr:spPr>
        <a:xfrm>
          <a:off x="6696075" y="15840075"/>
          <a:ext cx="0" cy="1004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54</xdr:row>
      <xdr:rowOff>0</xdr:rowOff>
    </xdr:from>
    <xdr:to>
      <xdr:col>3</xdr:col>
      <xdr:colOff>876300</xdr:colOff>
      <xdr:row>88</xdr:row>
      <xdr:rowOff>9525</xdr:rowOff>
    </xdr:to>
    <xdr:sp>
      <xdr:nvSpPr>
        <xdr:cNvPr id="4" name="Line 2"/>
        <xdr:cNvSpPr>
          <a:spLocks/>
        </xdr:cNvSpPr>
      </xdr:nvSpPr>
      <xdr:spPr>
        <a:xfrm>
          <a:off x="7772400" y="15840075"/>
          <a:ext cx="0" cy="1004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99</xdr:row>
      <xdr:rowOff>0</xdr:rowOff>
    </xdr:from>
    <xdr:to>
      <xdr:col>2</xdr:col>
      <xdr:colOff>914400</xdr:colOff>
      <xdr:row>136</xdr:row>
      <xdr:rowOff>9525</xdr:rowOff>
    </xdr:to>
    <xdr:sp>
      <xdr:nvSpPr>
        <xdr:cNvPr id="5" name="Line 1"/>
        <xdr:cNvSpPr>
          <a:spLocks/>
        </xdr:cNvSpPr>
      </xdr:nvSpPr>
      <xdr:spPr>
        <a:xfrm>
          <a:off x="6696075" y="29089350"/>
          <a:ext cx="0" cy="1093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99</xdr:row>
      <xdr:rowOff>0</xdr:rowOff>
    </xdr:from>
    <xdr:to>
      <xdr:col>3</xdr:col>
      <xdr:colOff>876300</xdr:colOff>
      <xdr:row>136</xdr:row>
      <xdr:rowOff>9525</xdr:rowOff>
    </xdr:to>
    <xdr:sp>
      <xdr:nvSpPr>
        <xdr:cNvPr id="6" name="Line 2"/>
        <xdr:cNvSpPr>
          <a:spLocks/>
        </xdr:cNvSpPr>
      </xdr:nvSpPr>
      <xdr:spPr>
        <a:xfrm>
          <a:off x="7772400" y="29089350"/>
          <a:ext cx="0" cy="1093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145</xdr:row>
      <xdr:rowOff>0</xdr:rowOff>
    </xdr:from>
    <xdr:to>
      <xdr:col>2</xdr:col>
      <xdr:colOff>914400</xdr:colOff>
      <xdr:row>180</xdr:row>
      <xdr:rowOff>9525</xdr:rowOff>
    </xdr:to>
    <xdr:sp>
      <xdr:nvSpPr>
        <xdr:cNvPr id="7" name="Line 1"/>
        <xdr:cNvSpPr>
          <a:spLocks/>
        </xdr:cNvSpPr>
      </xdr:nvSpPr>
      <xdr:spPr>
        <a:xfrm>
          <a:off x="6696075" y="42633900"/>
          <a:ext cx="0" cy="1034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145</xdr:row>
      <xdr:rowOff>0</xdr:rowOff>
    </xdr:from>
    <xdr:to>
      <xdr:col>3</xdr:col>
      <xdr:colOff>876300</xdr:colOff>
      <xdr:row>180</xdr:row>
      <xdr:rowOff>9525</xdr:rowOff>
    </xdr:to>
    <xdr:sp>
      <xdr:nvSpPr>
        <xdr:cNvPr id="8" name="Line 2"/>
        <xdr:cNvSpPr>
          <a:spLocks/>
        </xdr:cNvSpPr>
      </xdr:nvSpPr>
      <xdr:spPr>
        <a:xfrm>
          <a:off x="7772400" y="42633900"/>
          <a:ext cx="0" cy="1034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10;&#3648;&#3604;&#3639;&#3629;&#3609;%20%20&#3611;&#3637;&#3591;&#3610;&#3611;&#3619;&#3632;&#3617;&#3634;&#3603;%202555\&#3591;&#3610;&#3648;&#3604;&#3639;&#3629;&#3609;&#3585;&#3633;&#3609;&#3618;&#3634;&#3618;&#3609;%20%2025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หลังปิดบัญชี"/>
      <sheetName val="งบแสดงฐานะการเงิน"/>
      <sheetName val="รับ-จ่ายจริงปิดงบ (ทั้งปี)"/>
      <sheetName val="รับ-จ่ายจริงปิดงบ(กันยา)"/>
      <sheetName val="รายจ่ายค้างจ่าย"/>
      <sheetName val="เงินรับฝาก"/>
      <sheetName val="Sheet4"/>
      <sheetName val="Sheet1"/>
      <sheetName val="งบทดลอง1"/>
      <sheetName val="รับ-จ่ายเงินสด (2)"/>
      <sheetName val="539-6-01276-5"/>
      <sheetName val="001-2-50657-8"/>
      <sheetName val="รายละเอียด"/>
      <sheetName val="001-4-10325-7"/>
      <sheetName val="001-2-62433-8"/>
      <sheetName val="504-0-23040-0"/>
      <sheetName val="รายละเอียดเงินอุดหนุนเฉพาะกิจ"/>
      <sheetName val="ลูกหนี้เงินยืม 2"/>
      <sheetName val="รายจ่ายค้างจ่าย 1"/>
      <sheetName val="รายละเอียดเงินสะสม"/>
      <sheetName val="รายงานยอดเงินสะสม"/>
      <sheetName val="รายละเอียดเงินรับฝาก"/>
      <sheetName val="งบกระทบยอด"/>
      <sheetName val="ส่งใช้"/>
      <sheetName val="มาตรฐาน 1"/>
      <sheetName val="มาตรฐาน2"/>
      <sheetName val="มาตรฐาน 3"/>
      <sheetName val="Sheet2"/>
      <sheetName val="รายการปรับปรุงทั่วไป"/>
      <sheetName val="โอนเงินสินเดือน"/>
      <sheetName val="รายการโอน"/>
      <sheetName val="งบทดลอง1 (2)"/>
      <sheetName val="รายการปรับปรุงต้นปี"/>
    </sheetNames>
    <sheetDataSet>
      <sheetData sheetId="8">
        <row r="1">
          <cell r="A1" t="str">
            <v>เทศบาลตำบลท่าสาย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76"/>
  <sheetViews>
    <sheetView tabSelected="1" zoomScale="98" zoomScaleNormal="98" zoomScaleSheetLayoutView="75" zoomScalePageLayoutView="0" workbookViewId="0" topLeftCell="A38">
      <selection activeCell="H44" sqref="H44"/>
    </sheetView>
  </sheetViews>
  <sheetFormatPr defaultColWidth="9.140625" defaultRowHeight="21.75"/>
  <cols>
    <col min="1" max="3" width="9.140625" style="13" customWidth="1"/>
    <col min="4" max="4" width="31.28125" style="13" customWidth="1"/>
    <col min="5" max="5" width="12.00390625" style="13" customWidth="1"/>
    <col min="6" max="7" width="20.8515625" style="13" customWidth="1"/>
    <col min="8" max="8" width="14.00390625" style="13" customWidth="1"/>
    <col min="9" max="9" width="17.140625" style="13" customWidth="1"/>
    <col min="10" max="16384" width="9.140625" style="13" customWidth="1"/>
  </cols>
  <sheetData>
    <row r="1" spans="1:7" ht="26.25">
      <c r="A1" s="550" t="s">
        <v>513</v>
      </c>
      <c r="B1" s="550"/>
      <c r="C1" s="550"/>
      <c r="D1" s="550"/>
      <c r="E1" s="550"/>
      <c r="F1" s="550"/>
      <c r="G1" s="550"/>
    </row>
    <row r="2" spans="1:7" ht="23.25">
      <c r="A2" s="551" t="s">
        <v>369</v>
      </c>
      <c r="B2" s="551"/>
      <c r="C2" s="551"/>
      <c r="D2" s="551"/>
      <c r="E2" s="551"/>
      <c r="F2" s="551"/>
      <c r="G2" s="551"/>
    </row>
    <row r="3" spans="1:7" ht="23.25">
      <c r="A3" s="552" t="s">
        <v>570</v>
      </c>
      <c r="B3" s="552"/>
      <c r="C3" s="552"/>
      <c r="D3" s="552"/>
      <c r="E3" s="552"/>
      <c r="F3" s="552"/>
      <c r="G3" s="552"/>
    </row>
    <row r="4" spans="1:7" ht="6" customHeight="1">
      <c r="A4" s="99"/>
      <c r="B4" s="99"/>
      <c r="C4" s="99"/>
      <c r="D4" s="99"/>
      <c r="E4" s="99"/>
      <c r="F4" s="99"/>
      <c r="G4" s="99"/>
    </row>
    <row r="5" spans="1:7" ht="21.75">
      <c r="A5" s="553" t="s">
        <v>36</v>
      </c>
      <c r="B5" s="554"/>
      <c r="C5" s="554"/>
      <c r="D5" s="555"/>
      <c r="E5" s="559" t="s">
        <v>35</v>
      </c>
      <c r="F5" s="559" t="s">
        <v>37</v>
      </c>
      <c r="G5" s="559" t="s">
        <v>38</v>
      </c>
    </row>
    <row r="6" spans="1:7" ht="21.75">
      <c r="A6" s="556"/>
      <c r="B6" s="557"/>
      <c r="C6" s="557"/>
      <c r="D6" s="558"/>
      <c r="E6" s="560"/>
      <c r="F6" s="560"/>
      <c r="G6" s="560"/>
    </row>
    <row r="7" spans="1:7" ht="23.25">
      <c r="A7" s="561" t="s">
        <v>39</v>
      </c>
      <c r="B7" s="562"/>
      <c r="C7" s="562"/>
      <c r="D7" s="562"/>
      <c r="E7" s="100" t="s">
        <v>288</v>
      </c>
      <c r="F7" s="457">
        <v>15794</v>
      </c>
      <c r="G7" s="101"/>
    </row>
    <row r="8" spans="1:7" ht="23.25">
      <c r="A8" s="102" t="s">
        <v>40</v>
      </c>
      <c r="B8" s="103"/>
      <c r="C8" s="103"/>
      <c r="D8" s="103"/>
      <c r="E8" s="104" t="s">
        <v>289</v>
      </c>
      <c r="F8" s="276">
        <v>0</v>
      </c>
      <c r="G8" s="105"/>
    </row>
    <row r="9" spans="1:8" ht="23.25">
      <c r="A9" s="548" t="s">
        <v>98</v>
      </c>
      <c r="B9" s="549"/>
      <c r="C9" s="549"/>
      <c r="D9" s="549"/>
      <c r="E9" s="104" t="s">
        <v>290</v>
      </c>
      <c r="F9" s="276">
        <v>9934201.85</v>
      </c>
      <c r="G9" s="105"/>
      <c r="H9" s="289"/>
    </row>
    <row r="10" spans="1:7" ht="23.25">
      <c r="A10" s="102" t="s">
        <v>104</v>
      </c>
      <c r="B10" s="103"/>
      <c r="C10" s="103"/>
      <c r="D10" s="103"/>
      <c r="E10" s="104" t="s">
        <v>290</v>
      </c>
      <c r="F10" s="276">
        <v>0</v>
      </c>
      <c r="G10" s="105"/>
    </row>
    <row r="11" spans="1:7" ht="23.25">
      <c r="A11" s="102" t="s">
        <v>110</v>
      </c>
      <c r="B11" s="103"/>
      <c r="C11" s="103"/>
      <c r="D11" s="103"/>
      <c r="E11" s="104" t="s">
        <v>290</v>
      </c>
      <c r="F11" s="276">
        <v>0</v>
      </c>
      <c r="G11" s="105"/>
    </row>
    <row r="12" spans="1:7" ht="23.25">
      <c r="A12" s="102" t="s">
        <v>97</v>
      </c>
      <c r="B12" s="103"/>
      <c r="C12" s="103"/>
      <c r="D12" s="103"/>
      <c r="E12" s="104" t="s">
        <v>291</v>
      </c>
      <c r="F12" s="275">
        <f>2293.81+145.39</f>
        <v>2439.2</v>
      </c>
      <c r="G12" s="105"/>
    </row>
    <row r="13" spans="1:8" ht="23.25">
      <c r="A13" s="548" t="s">
        <v>99</v>
      </c>
      <c r="B13" s="549"/>
      <c r="C13" s="549"/>
      <c r="D13" s="549"/>
      <c r="E13" s="104" t="s">
        <v>291</v>
      </c>
      <c r="F13" s="275">
        <v>19306752.22</v>
      </c>
      <c r="G13" s="105"/>
      <c r="H13" s="42"/>
    </row>
    <row r="14" spans="1:7" ht="23.25">
      <c r="A14" s="548" t="s">
        <v>100</v>
      </c>
      <c r="B14" s="549"/>
      <c r="C14" s="549"/>
      <c r="D14" s="549"/>
      <c r="E14" s="104" t="s">
        <v>291</v>
      </c>
      <c r="F14" s="275">
        <v>139468.77</v>
      </c>
      <c r="G14" s="105"/>
    </row>
    <row r="15" spans="1:9" ht="23.25">
      <c r="A15" s="548" t="s">
        <v>101</v>
      </c>
      <c r="B15" s="549"/>
      <c r="C15" s="549"/>
      <c r="D15" s="549"/>
      <c r="E15" s="104" t="s">
        <v>292</v>
      </c>
      <c r="F15" s="275">
        <v>3068092.79</v>
      </c>
      <c r="G15" s="105"/>
      <c r="H15" s="106">
        <f>SUM(F7:F17)</f>
        <v>38916446.31999999</v>
      </c>
      <c r="I15" s="106">
        <f>H15-'รับ-จ่ายเงินสด (2)'!G66</f>
        <v>0</v>
      </c>
    </row>
    <row r="16" spans="1:7" ht="23.25">
      <c r="A16" s="102" t="s">
        <v>170</v>
      </c>
      <c r="B16" s="103"/>
      <c r="C16" s="103"/>
      <c r="D16" s="103"/>
      <c r="E16" s="104" t="s">
        <v>292</v>
      </c>
      <c r="F16" s="275">
        <v>6439383.26</v>
      </c>
      <c r="G16" s="105"/>
    </row>
    <row r="17" spans="1:8" ht="23.25">
      <c r="A17" s="548" t="s">
        <v>381</v>
      </c>
      <c r="B17" s="549"/>
      <c r="C17" s="549"/>
      <c r="D17" s="549"/>
      <c r="E17" s="104" t="s">
        <v>291</v>
      </c>
      <c r="F17" s="276">
        <v>10314.23</v>
      </c>
      <c r="G17" s="105"/>
      <c r="H17" s="42"/>
    </row>
    <row r="18" spans="1:7" ht="23.25">
      <c r="A18" s="548" t="s">
        <v>48</v>
      </c>
      <c r="B18" s="549"/>
      <c r="C18" s="549"/>
      <c r="D18" s="549"/>
      <c r="E18" s="104" t="s">
        <v>293</v>
      </c>
      <c r="F18" s="276">
        <f>13753.32+17995.32+66000+13753.32+33000+16595.32+32500+13753.32+32500+32500+152389.32+25117.32-2554</f>
        <v>447303.24</v>
      </c>
      <c r="G18" s="105"/>
    </row>
    <row r="19" spans="1:9" ht="23.25">
      <c r="A19" s="548" t="s">
        <v>42</v>
      </c>
      <c r="B19" s="549"/>
      <c r="C19" s="549"/>
      <c r="D19" s="549"/>
      <c r="E19" s="104" t="s">
        <v>294</v>
      </c>
      <c r="F19" s="276">
        <f>365635+365635+366067.57+595578.2+564632.05+599095+588975</f>
        <v>3445617.8200000003</v>
      </c>
      <c r="G19" s="105"/>
      <c r="I19" s="289"/>
    </row>
    <row r="20" spans="1:7" ht="23.25">
      <c r="A20" s="548" t="s">
        <v>56</v>
      </c>
      <c r="B20" s="549"/>
      <c r="C20" s="549"/>
      <c r="D20" s="549"/>
      <c r="E20" s="104" t="s">
        <v>295</v>
      </c>
      <c r="F20" s="276">
        <f>127660+127660+127660+127660+115150+140170+127660</f>
        <v>893620</v>
      </c>
      <c r="G20" s="105"/>
    </row>
    <row r="21" spans="1:7" ht="23.25">
      <c r="A21" s="548" t="s">
        <v>56</v>
      </c>
      <c r="B21" s="549"/>
      <c r="C21" s="549"/>
      <c r="D21" s="549"/>
      <c r="E21" s="104" t="s">
        <v>296</v>
      </c>
      <c r="F21" s="276">
        <f>900+900+900+900+900+900+900</f>
        <v>6300</v>
      </c>
      <c r="G21" s="105"/>
    </row>
    <row r="22" spans="1:7" ht="23.25">
      <c r="A22" s="548" t="s">
        <v>43</v>
      </c>
      <c r="B22" s="549"/>
      <c r="C22" s="549"/>
      <c r="D22" s="549"/>
      <c r="E22" s="104" t="s">
        <v>297</v>
      </c>
      <c r="F22" s="276">
        <f>33830+51855-3000+39925+47410+37047.5+25018+23311</f>
        <v>255396.5</v>
      </c>
      <c r="G22" s="105"/>
    </row>
    <row r="23" spans="1:10" ht="23.25">
      <c r="A23" s="548" t="s">
        <v>44</v>
      </c>
      <c r="B23" s="549"/>
      <c r="C23" s="549"/>
      <c r="D23" s="549"/>
      <c r="E23" s="104" t="s">
        <v>298</v>
      </c>
      <c r="F23" s="276">
        <f>68453+3000+492732.31+17700+3800+7260+5480+3000+242332.25+100100+9540+16780+120900+15400+22500+305000+4200+2282+25200+7200+24750+6740+10000+1696+1738+3800+218723.1+3140+2282+55400+13770+354273.75+7720+7360+4000+47216+4000+2448+480+85591.02+14976+8400</f>
        <v>2351363.43</v>
      </c>
      <c r="G23" s="105"/>
      <c r="I23" s="42"/>
      <c r="J23" s="42"/>
    </row>
    <row r="24" spans="1:10" ht="23.25">
      <c r="A24" s="548" t="s">
        <v>44</v>
      </c>
      <c r="B24" s="549"/>
      <c r="C24" s="549"/>
      <c r="D24" s="549"/>
      <c r="E24" s="104" t="s">
        <v>298</v>
      </c>
      <c r="F24" s="276">
        <f>126254+167496+18010+2840+24360+13200+3284+227287.25+40000</f>
        <v>622731.25</v>
      </c>
      <c r="G24" s="105"/>
      <c r="I24" s="42"/>
      <c r="J24" s="42"/>
    </row>
    <row r="25" spans="1:9" ht="23.25">
      <c r="A25" s="548" t="s">
        <v>45</v>
      </c>
      <c r="B25" s="549"/>
      <c r="C25" s="549"/>
      <c r="D25" s="549"/>
      <c r="E25" s="104" t="s">
        <v>299</v>
      </c>
      <c r="F25" s="276">
        <f>9280+43831.1+79302.43+65776+53312.5+93543.4+62578.63</f>
        <v>407624.06</v>
      </c>
      <c r="G25" s="105"/>
      <c r="I25" s="42"/>
    </row>
    <row r="26" spans="1:7" ht="23.25">
      <c r="A26" s="548" t="s">
        <v>45</v>
      </c>
      <c r="B26" s="549"/>
      <c r="C26" s="549"/>
      <c r="D26" s="549"/>
      <c r="E26" s="104" t="s">
        <v>494</v>
      </c>
      <c r="F26" s="276">
        <f>72325.44+8038+114995+58998.94+73300.66+136804.97</f>
        <v>464463.01</v>
      </c>
      <c r="G26" s="105"/>
    </row>
    <row r="27" spans="1:7" ht="23.25">
      <c r="A27" s="548" t="s">
        <v>46</v>
      </c>
      <c r="B27" s="549"/>
      <c r="C27" s="549"/>
      <c r="D27" s="549"/>
      <c r="E27" s="104" t="s">
        <v>300</v>
      </c>
      <c r="F27" s="276">
        <f>24903.99+41153.45+35542.68+33896.58+28319.94+44807.13+9118.54</f>
        <v>217742.31000000003</v>
      </c>
      <c r="G27" s="105"/>
    </row>
    <row r="28" spans="1:7" ht="23.25">
      <c r="A28" s="548" t="s">
        <v>46</v>
      </c>
      <c r="B28" s="549"/>
      <c r="C28" s="549"/>
      <c r="D28" s="549"/>
      <c r="E28" s="104" t="s">
        <v>546</v>
      </c>
      <c r="F28" s="276">
        <f>22753.38+2350.79+28871.65</f>
        <v>53975.82000000001</v>
      </c>
      <c r="G28" s="105"/>
    </row>
    <row r="29" spans="1:7" ht="23.25">
      <c r="A29" s="102" t="s">
        <v>47</v>
      </c>
      <c r="B29" s="103"/>
      <c r="C29" s="103"/>
      <c r="D29" s="103"/>
      <c r="E29" s="104" t="s">
        <v>544</v>
      </c>
      <c r="F29" s="276">
        <f>634400+35000+65000</f>
        <v>734400</v>
      </c>
      <c r="G29" s="105"/>
    </row>
    <row r="30" spans="1:7" ht="23.25">
      <c r="A30" s="102" t="s">
        <v>79</v>
      </c>
      <c r="B30" s="103"/>
      <c r="C30" s="103"/>
      <c r="D30" s="103"/>
      <c r="E30" s="104"/>
      <c r="F30" s="276">
        <f>22450+16050</f>
        <v>38500</v>
      </c>
      <c r="G30" s="105"/>
    </row>
    <row r="31" spans="1:7" ht="23.25">
      <c r="A31" s="102" t="s">
        <v>79</v>
      </c>
      <c r="B31" s="103"/>
      <c r="C31" s="103"/>
      <c r="D31" s="103"/>
      <c r="E31" s="104"/>
      <c r="F31" s="276">
        <f>107100+113850</f>
        <v>220950</v>
      </c>
      <c r="G31" s="105"/>
    </row>
    <row r="32" spans="1:7" ht="23.25">
      <c r="A32" s="102" t="s">
        <v>370</v>
      </c>
      <c r="B32" s="103"/>
      <c r="C32" s="103"/>
      <c r="D32" s="291"/>
      <c r="E32" s="109"/>
      <c r="F32" s="292">
        <f>'ลูกหนี้เงินยืม 2'!H59</f>
        <v>122976</v>
      </c>
      <c r="G32" s="105"/>
    </row>
    <row r="33" spans="1:7" ht="23.25">
      <c r="A33" s="102" t="s">
        <v>645</v>
      </c>
      <c r="B33" s="103"/>
      <c r="C33" s="103"/>
      <c r="D33" s="291"/>
      <c r="E33" s="109"/>
      <c r="F33" s="292">
        <f>+'ลูกหนี้เงินยืม 2'!H24</f>
        <v>824940</v>
      </c>
      <c r="G33" s="105"/>
    </row>
    <row r="34" spans="1:7" ht="23.25">
      <c r="A34" s="110" t="s">
        <v>41</v>
      </c>
      <c r="B34" s="50"/>
      <c r="C34" s="50"/>
      <c r="D34" s="157"/>
      <c r="E34" s="109" t="s">
        <v>301</v>
      </c>
      <c r="F34" s="277">
        <v>68187.05</v>
      </c>
      <c r="G34" s="105"/>
    </row>
    <row r="35" spans="1:7" ht="23.25">
      <c r="A35" s="110" t="s">
        <v>560</v>
      </c>
      <c r="B35" s="50"/>
      <c r="C35" s="50"/>
      <c r="D35" s="157"/>
      <c r="E35" s="109"/>
      <c r="F35" s="277"/>
      <c r="G35" s="454">
        <f>'รายจ่ายค้างจ่าย 1'!E21</f>
        <v>500</v>
      </c>
    </row>
    <row r="36" spans="1:7" ht="23.25">
      <c r="A36" s="102" t="s">
        <v>561</v>
      </c>
      <c r="B36" s="103"/>
      <c r="C36" s="103"/>
      <c r="D36" s="291"/>
      <c r="E36" s="109" t="s">
        <v>302</v>
      </c>
      <c r="F36" s="277"/>
      <c r="G36" s="454">
        <f>รายละเอียดเงินสะสม!G15</f>
        <v>13396438.79</v>
      </c>
    </row>
    <row r="37" spans="1:7" ht="23.25">
      <c r="A37" s="102" t="s">
        <v>105</v>
      </c>
      <c r="B37" s="103"/>
      <c r="C37" s="103"/>
      <c r="D37" s="291"/>
      <c r="E37" s="109" t="s">
        <v>303</v>
      </c>
      <c r="F37" s="277"/>
      <c r="G37" s="454">
        <v>10202558.85</v>
      </c>
    </row>
    <row r="38" spans="1:7" ht="22.5" customHeight="1">
      <c r="A38" s="110" t="s">
        <v>114</v>
      </c>
      <c r="B38" s="50"/>
      <c r="C38" s="50"/>
      <c r="D38" s="157"/>
      <c r="E38" s="111">
        <v>400000</v>
      </c>
      <c r="F38" s="277"/>
      <c r="G38" s="454">
        <f>741545.85+4942434.19+1143595.5+951720.52+3804963.23+5166632.21+4659272.82</f>
        <v>21410164.32</v>
      </c>
    </row>
    <row r="39" spans="1:7" ht="22.5" customHeight="1">
      <c r="A39" s="110" t="s">
        <v>562</v>
      </c>
      <c r="B39" s="50"/>
      <c r="C39" s="50"/>
      <c r="D39" s="157"/>
      <c r="E39" s="111">
        <v>400000</v>
      </c>
      <c r="F39" s="277"/>
      <c r="G39" s="454">
        <f>+เงินอุดหนุนเฉพาะกิจ!F16</f>
        <v>3781450.280000001</v>
      </c>
    </row>
    <row r="40" spans="1:7" ht="23.25">
      <c r="A40" s="110" t="s">
        <v>563</v>
      </c>
      <c r="B40" s="50"/>
      <c r="C40" s="50"/>
      <c r="D40" s="157"/>
      <c r="E40" s="111">
        <v>230100</v>
      </c>
      <c r="F40" s="277"/>
      <c r="G40" s="454">
        <f>รายละเอียดเงินรับฝาก!G24</f>
        <v>1113161.69</v>
      </c>
    </row>
    <row r="41" spans="1:7" s="14" customFormat="1" ht="23.25">
      <c r="A41" s="110" t="s">
        <v>564</v>
      </c>
      <c r="B41" s="50"/>
      <c r="C41" s="50"/>
      <c r="D41" s="157"/>
      <c r="E41" s="111">
        <v>210500</v>
      </c>
      <c r="F41" s="293"/>
      <c r="G41" s="455">
        <f>'รายจ่ายค้างจ่าย 1'!E55</f>
        <v>188262.8799999999</v>
      </c>
    </row>
    <row r="42" spans="1:9" ht="24" thickBot="1">
      <c r="A42" s="112"/>
      <c r="B42" s="113"/>
      <c r="C42" s="113"/>
      <c r="D42" s="294"/>
      <c r="E42" s="107"/>
      <c r="F42" s="278">
        <f>SUM(F7:F41)</f>
        <v>50092536.809999995</v>
      </c>
      <c r="G42" s="456">
        <f>SUM(G35:G41)</f>
        <v>50092536.81</v>
      </c>
      <c r="I42" s="289">
        <f>F42-G42</f>
        <v>0</v>
      </c>
    </row>
    <row r="43" ht="22.5" thickTop="1"/>
    <row r="44" spans="5:7" ht="21.75">
      <c r="E44" s="114"/>
      <c r="F44" s="424"/>
      <c r="G44" s="92"/>
    </row>
    <row r="45" ht="21.75"/>
    <row r="46" ht="21.75">
      <c r="G46" s="92"/>
    </row>
    <row r="47" spans="1:7" ht="21.75">
      <c r="A47" s="90"/>
      <c r="B47" s="90"/>
      <c r="C47" s="90"/>
      <c r="D47" s="90"/>
      <c r="E47" s="115"/>
      <c r="F47" s="116"/>
      <c r="G47" s="117"/>
    </row>
    <row r="48" spans="1:7" ht="22.5">
      <c r="A48" s="563"/>
      <c r="B48" s="563"/>
      <c r="C48" s="563"/>
      <c r="D48" s="563"/>
      <c r="E48" s="563"/>
      <c r="F48" s="563"/>
      <c r="G48" s="563"/>
    </row>
    <row r="49" spans="1:7" ht="22.5">
      <c r="A49" s="563"/>
      <c r="B49" s="563"/>
      <c r="C49" s="563"/>
      <c r="D49" s="563"/>
      <c r="E49" s="563"/>
      <c r="F49" s="563"/>
      <c r="G49" s="563"/>
    </row>
    <row r="50" spans="1:7" ht="22.5">
      <c r="A50" s="563"/>
      <c r="B50" s="563"/>
      <c r="C50" s="563"/>
      <c r="D50" s="563"/>
      <c r="E50" s="563"/>
      <c r="F50" s="563"/>
      <c r="G50" s="563"/>
    </row>
    <row r="53" ht="21.75">
      <c r="D53" s="118"/>
    </row>
    <row r="55" ht="21.75">
      <c r="F55" s="13" t="s">
        <v>117</v>
      </c>
    </row>
    <row r="65" spans="1:7" ht="21.75">
      <c r="A65" s="563" t="s">
        <v>133</v>
      </c>
      <c r="B65" s="563"/>
      <c r="C65" s="563"/>
      <c r="D65" s="563"/>
      <c r="E65" s="563"/>
      <c r="F65" s="563"/>
      <c r="G65" s="563"/>
    </row>
    <row r="66" spans="1:7" ht="21.75">
      <c r="A66" s="563" t="s">
        <v>127</v>
      </c>
      <c r="B66" s="563"/>
      <c r="C66" s="563"/>
      <c r="D66" s="563"/>
      <c r="E66" s="563"/>
      <c r="F66" s="563"/>
      <c r="G66" s="563"/>
    </row>
    <row r="67" spans="1:7" ht="21.75">
      <c r="A67" s="563" t="s">
        <v>121</v>
      </c>
      <c r="B67" s="563"/>
      <c r="C67" s="563"/>
      <c r="D67" s="563"/>
      <c r="E67" s="563"/>
      <c r="F67" s="563"/>
      <c r="G67" s="563"/>
    </row>
    <row r="68" ht="21.75"/>
    <row r="69" ht="21.75"/>
    <row r="74" spans="1:7" ht="22.5">
      <c r="A74" s="563" t="s">
        <v>132</v>
      </c>
      <c r="B74" s="563"/>
      <c r="C74" s="563"/>
      <c r="D74" s="563"/>
      <c r="E74" s="563"/>
      <c r="F74" s="563"/>
      <c r="G74" s="563"/>
    </row>
    <row r="75" spans="1:7" ht="22.5">
      <c r="A75" s="563" t="s">
        <v>131</v>
      </c>
      <c r="B75" s="563"/>
      <c r="C75" s="563"/>
      <c r="D75" s="563"/>
      <c r="E75" s="563"/>
      <c r="F75" s="563"/>
      <c r="G75" s="563"/>
    </row>
    <row r="76" spans="1:7" ht="22.5">
      <c r="A76" s="563" t="s">
        <v>126</v>
      </c>
      <c r="B76" s="563"/>
      <c r="C76" s="563"/>
      <c r="D76" s="563"/>
      <c r="E76" s="563"/>
      <c r="F76" s="563"/>
      <c r="G76" s="563"/>
    </row>
  </sheetData>
  <sheetProtection/>
  <mergeCells count="33">
    <mergeCell ref="A28:D28"/>
    <mergeCell ref="A48:G48"/>
    <mergeCell ref="A49:G49"/>
    <mergeCell ref="A76:G76"/>
    <mergeCell ref="A65:G65"/>
    <mergeCell ref="A66:G66"/>
    <mergeCell ref="A67:G67"/>
    <mergeCell ref="A74:G74"/>
    <mergeCell ref="A75:G75"/>
    <mergeCell ref="A50:G50"/>
    <mergeCell ref="A7:D7"/>
    <mergeCell ref="A9:D9"/>
    <mergeCell ref="A13:D13"/>
    <mergeCell ref="A21:D21"/>
    <mergeCell ref="A14:D14"/>
    <mergeCell ref="A15:D15"/>
    <mergeCell ref="A17:D17"/>
    <mergeCell ref="A18:D18"/>
    <mergeCell ref="A19:D19"/>
    <mergeCell ref="A1:G1"/>
    <mergeCell ref="A2:G2"/>
    <mergeCell ref="A3:G3"/>
    <mergeCell ref="A5:D6"/>
    <mergeCell ref="E5:E6"/>
    <mergeCell ref="F5:F6"/>
    <mergeCell ref="G5:G6"/>
    <mergeCell ref="A27:D27"/>
    <mergeCell ref="A25:D25"/>
    <mergeCell ref="A20:D20"/>
    <mergeCell ref="A22:D22"/>
    <mergeCell ref="A23:D23"/>
    <mergeCell ref="A26:D26"/>
    <mergeCell ref="A24:D24"/>
  </mergeCells>
  <printOptions/>
  <pageMargins left="0.984251968503937" right="0.1968503937007874" top="0.2755905511811024" bottom="0.1968503937007874" header="0.15748031496062992" footer="0.15748031496062992"/>
  <pageSetup horizontalDpi="180" verticalDpi="18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E65" sqref="E65"/>
    </sheetView>
  </sheetViews>
  <sheetFormatPr defaultColWidth="9.140625" defaultRowHeight="21.75"/>
  <cols>
    <col min="1" max="1" width="9.140625" style="168" customWidth="1"/>
    <col min="2" max="2" width="63.8515625" style="168" customWidth="1"/>
    <col min="3" max="3" width="20.140625" style="168" customWidth="1"/>
    <col min="4" max="4" width="17.00390625" style="169" customWidth="1"/>
    <col min="5" max="5" width="18.8515625" style="168" customWidth="1"/>
    <col min="6" max="6" width="14.7109375" style="168" customWidth="1"/>
    <col min="7" max="7" width="4.7109375" style="168" customWidth="1"/>
    <col min="8" max="16384" width="9.140625" style="168" customWidth="1"/>
  </cols>
  <sheetData>
    <row r="1" ht="23.25">
      <c r="E1" s="170" t="s">
        <v>472</v>
      </c>
    </row>
    <row r="2" spans="1:7" ht="23.25">
      <c r="A2" s="646" t="str">
        <f>งบทดลอง1!A1</f>
        <v>เทศบาลตำบลท่าสาย</v>
      </c>
      <c r="B2" s="646"/>
      <c r="C2" s="646"/>
      <c r="D2" s="646"/>
      <c r="E2" s="646"/>
      <c r="F2" s="641"/>
      <c r="G2" s="641"/>
    </row>
    <row r="3" spans="1:7" ht="23.25">
      <c r="A3" s="646" t="s">
        <v>55</v>
      </c>
      <c r="B3" s="646"/>
      <c r="C3" s="646"/>
      <c r="D3" s="646"/>
      <c r="E3" s="646"/>
      <c r="F3" s="171"/>
      <c r="G3" s="171"/>
    </row>
    <row r="4" spans="1:5" ht="23.25">
      <c r="A4" s="647" t="str">
        <f>งบทดลอง1!A3</f>
        <v>ณ  วันที่   30  เมษายน  2556</v>
      </c>
      <c r="B4" s="647"/>
      <c r="C4" s="647"/>
      <c r="D4" s="647"/>
      <c r="E4" s="647"/>
    </row>
    <row r="5" spans="1:5" ht="8.25" customHeight="1">
      <c r="A5" s="172"/>
      <c r="B5" s="172"/>
      <c r="C5" s="172"/>
      <c r="D5" s="172"/>
      <c r="E5" s="172"/>
    </row>
    <row r="6" spans="1:5" ht="23.25">
      <c r="A6" s="642" t="s">
        <v>85</v>
      </c>
      <c r="B6" s="644" t="s">
        <v>102</v>
      </c>
      <c r="C6" s="173" t="s">
        <v>64</v>
      </c>
      <c r="D6" s="174" t="s">
        <v>86</v>
      </c>
      <c r="E6" s="175" t="s">
        <v>87</v>
      </c>
    </row>
    <row r="7" spans="1:5" ht="23.25">
      <c r="A7" s="643"/>
      <c r="B7" s="645"/>
      <c r="C7" s="176" t="s">
        <v>52</v>
      </c>
      <c r="D7" s="177" t="s">
        <v>52</v>
      </c>
      <c r="E7" s="178" t="s">
        <v>52</v>
      </c>
    </row>
    <row r="8" spans="1:5" ht="23.25">
      <c r="A8" s="179" t="s">
        <v>117</v>
      </c>
      <c r="B8" s="189" t="s">
        <v>304</v>
      </c>
      <c r="C8" s="180"/>
      <c r="D8" s="181"/>
      <c r="E8" s="180" t="s">
        <v>117</v>
      </c>
    </row>
    <row r="9" spans="1:5" ht="23.25">
      <c r="A9" s="179">
        <v>1</v>
      </c>
      <c r="B9" s="201" t="s">
        <v>495</v>
      </c>
      <c r="C9" s="180">
        <v>19562</v>
      </c>
      <c r="D9" s="181">
        <v>19562</v>
      </c>
      <c r="E9" s="180">
        <f>+C9-D9</f>
        <v>0</v>
      </c>
    </row>
    <row r="10" spans="1:5" ht="23.25">
      <c r="A10" s="179"/>
      <c r="B10" s="201" t="s">
        <v>496</v>
      </c>
      <c r="C10" s="180">
        <v>4800</v>
      </c>
      <c r="D10" s="181">
        <v>4800</v>
      </c>
      <c r="E10" s="180">
        <f>+C10-D10</f>
        <v>0</v>
      </c>
    </row>
    <row r="11" spans="1:5" ht="23.25">
      <c r="A11" s="179"/>
      <c r="B11" s="185" t="s">
        <v>497</v>
      </c>
      <c r="C11" s="180">
        <v>60000</v>
      </c>
      <c r="D11" s="181">
        <v>60000</v>
      </c>
      <c r="E11" s="180">
        <f aca="true" t="shared" si="0" ref="E11:E20">+C11-D11</f>
        <v>0</v>
      </c>
    </row>
    <row r="12" spans="1:5" ht="23.25">
      <c r="A12" s="179"/>
      <c r="B12" s="185" t="s">
        <v>498</v>
      </c>
      <c r="C12" s="180">
        <v>76600</v>
      </c>
      <c r="D12" s="181">
        <v>76600</v>
      </c>
      <c r="E12" s="180">
        <f t="shared" si="0"/>
        <v>0</v>
      </c>
    </row>
    <row r="13" spans="1:5" ht="23.25">
      <c r="A13" s="179"/>
      <c r="B13" s="185" t="s">
        <v>499</v>
      </c>
      <c r="C13" s="180">
        <v>143500</v>
      </c>
      <c r="D13" s="181">
        <v>143500</v>
      </c>
      <c r="E13" s="180">
        <f t="shared" si="0"/>
        <v>0</v>
      </c>
    </row>
    <row r="14" spans="1:5" ht="23.25">
      <c r="A14" s="179"/>
      <c r="B14" s="185" t="s">
        <v>500</v>
      </c>
      <c r="C14" s="180">
        <v>147500</v>
      </c>
      <c r="D14" s="181">
        <v>147500</v>
      </c>
      <c r="E14" s="180">
        <f t="shared" si="0"/>
        <v>0</v>
      </c>
    </row>
    <row r="15" spans="1:5" ht="23.25">
      <c r="A15" s="179"/>
      <c r="B15" s="185" t="s">
        <v>501</v>
      </c>
      <c r="C15" s="180">
        <v>145000</v>
      </c>
      <c r="D15" s="181">
        <v>145000</v>
      </c>
      <c r="E15" s="180">
        <f t="shared" si="0"/>
        <v>0</v>
      </c>
    </row>
    <row r="16" spans="1:5" ht="23.25">
      <c r="A16" s="179"/>
      <c r="B16" s="185" t="s">
        <v>502</v>
      </c>
      <c r="C16" s="180">
        <v>140500</v>
      </c>
      <c r="D16" s="181">
        <v>140500</v>
      </c>
      <c r="E16" s="180">
        <f t="shared" si="0"/>
        <v>0</v>
      </c>
    </row>
    <row r="17" spans="1:5" ht="23.25">
      <c r="A17" s="179"/>
      <c r="B17" s="185" t="s">
        <v>504</v>
      </c>
      <c r="C17" s="180">
        <v>149500</v>
      </c>
      <c r="D17" s="181">
        <v>149500</v>
      </c>
      <c r="E17" s="180">
        <f t="shared" si="0"/>
        <v>0</v>
      </c>
    </row>
    <row r="18" spans="1:5" ht="23.25">
      <c r="A18" s="179">
        <v>2</v>
      </c>
      <c r="B18" s="185" t="s">
        <v>503</v>
      </c>
      <c r="C18" s="203">
        <v>143000</v>
      </c>
      <c r="D18" s="183">
        <v>142500</v>
      </c>
      <c r="E18" s="180">
        <f t="shared" si="0"/>
        <v>500</v>
      </c>
    </row>
    <row r="19" spans="1:5" ht="23.25">
      <c r="A19" s="184"/>
      <c r="B19" s="202"/>
      <c r="C19" s="203"/>
      <c r="D19" s="187"/>
      <c r="E19" s="180">
        <f t="shared" si="0"/>
        <v>0</v>
      </c>
    </row>
    <row r="20" spans="1:5" ht="23.25">
      <c r="A20" s="188"/>
      <c r="B20" s="201"/>
      <c r="C20" s="203"/>
      <c r="D20" s="186"/>
      <c r="E20" s="180">
        <f t="shared" si="0"/>
        <v>0</v>
      </c>
    </row>
    <row r="21" spans="1:6" ht="24" thickBot="1">
      <c r="A21" s="190"/>
      <c r="B21" s="191" t="s">
        <v>124</v>
      </c>
      <c r="C21" s="192">
        <f>SUM(C9:C20)</f>
        <v>1029962</v>
      </c>
      <c r="D21" s="192">
        <f>SUM(D9:D20)</f>
        <v>1029462</v>
      </c>
      <c r="E21" s="192">
        <f>SUM(E9:E20)</f>
        <v>500</v>
      </c>
      <c r="F21" s="524"/>
    </row>
    <row r="22" spans="1:5" ht="24" thickTop="1">
      <c r="A22" s="182"/>
      <c r="B22" s="182"/>
      <c r="C22" s="182"/>
      <c r="D22" s="194"/>
      <c r="E22" s="182"/>
    </row>
    <row r="23" spans="1:5" ht="23.25">
      <c r="A23" s="182"/>
      <c r="B23" s="182"/>
      <c r="C23" s="182"/>
      <c r="D23" s="194"/>
      <c r="E23" s="182"/>
    </row>
    <row r="24" spans="1:5" ht="23.25">
      <c r="A24" s="182"/>
      <c r="B24" s="182"/>
      <c r="C24" s="182"/>
      <c r="D24" s="194"/>
      <c r="E24" s="182"/>
    </row>
    <row r="25" spans="1:5" ht="23.25">
      <c r="A25" s="182"/>
      <c r="B25" s="182"/>
      <c r="C25" s="182"/>
      <c r="D25" s="194"/>
      <c r="E25" s="182"/>
    </row>
    <row r="26" spans="1:5" ht="23.25">
      <c r="A26" s="182"/>
      <c r="B26" s="182"/>
      <c r="C26" s="182"/>
      <c r="D26" s="194"/>
      <c r="E26" s="182"/>
    </row>
    <row r="27" spans="1:5" ht="23.25">
      <c r="A27" s="182"/>
      <c r="B27" s="182"/>
      <c r="C27" s="182"/>
      <c r="D27" s="194"/>
      <c r="E27" s="182"/>
    </row>
    <row r="28" spans="1:5" ht="23.25">
      <c r="A28" s="182"/>
      <c r="B28" s="182"/>
      <c r="C28" s="182"/>
      <c r="D28" s="194"/>
      <c r="E28" s="182"/>
    </row>
    <row r="29" spans="1:5" ht="23.25">
      <c r="A29" s="182"/>
      <c r="B29" s="182"/>
      <c r="C29" s="205"/>
      <c r="D29" s="194"/>
      <c r="E29" s="182"/>
    </row>
    <row r="30" ht="20.25" customHeight="1"/>
    <row r="31" ht="23.25"/>
    <row r="32" ht="23.25"/>
    <row r="33" ht="23.25"/>
    <row r="34" ht="23.25"/>
    <row r="47" ht="23.25">
      <c r="E47" s="170" t="s">
        <v>535</v>
      </c>
    </row>
    <row r="48" spans="1:5" ht="23.25">
      <c r="A48" s="646" t="str">
        <f>งบทดลอง1!A1</f>
        <v>เทศบาลตำบลท่าสาย</v>
      </c>
      <c r="B48" s="646"/>
      <c r="C48" s="646"/>
      <c r="D48" s="646"/>
      <c r="E48" s="646"/>
    </row>
    <row r="49" spans="1:5" ht="23.25">
      <c r="A49" s="646" t="s">
        <v>305</v>
      </c>
      <c r="B49" s="646"/>
      <c r="C49" s="646"/>
      <c r="D49" s="646"/>
      <c r="E49" s="646"/>
    </row>
    <row r="50" spans="1:5" ht="23.25">
      <c r="A50" s="647" t="str">
        <f>งบทดลอง1!A3</f>
        <v>ณ  วันที่   30  เมษายน  2556</v>
      </c>
      <c r="B50" s="647"/>
      <c r="C50" s="647"/>
      <c r="D50" s="647"/>
      <c r="E50" s="647"/>
    </row>
    <row r="51" spans="1:5" ht="23.25">
      <c r="A51" s="172"/>
      <c r="B51" s="172"/>
      <c r="C51" s="172"/>
      <c r="D51" s="172"/>
      <c r="E51" s="172"/>
    </row>
    <row r="52" spans="1:5" ht="23.25">
      <c r="A52" s="642" t="s">
        <v>85</v>
      </c>
      <c r="B52" s="644" t="s">
        <v>102</v>
      </c>
      <c r="C52" s="173" t="s">
        <v>64</v>
      </c>
      <c r="D52" s="174" t="s">
        <v>86</v>
      </c>
      <c r="E52" s="175" t="s">
        <v>87</v>
      </c>
    </row>
    <row r="53" spans="1:5" ht="23.25">
      <c r="A53" s="643"/>
      <c r="B53" s="645"/>
      <c r="C53" s="176" t="s">
        <v>52</v>
      </c>
      <c r="D53" s="177" t="s">
        <v>52</v>
      </c>
      <c r="E53" s="178" t="s">
        <v>52</v>
      </c>
    </row>
    <row r="54" spans="1:5" ht="23.25">
      <c r="A54" s="179" t="s">
        <v>117</v>
      </c>
      <c r="B54" s="189" t="s">
        <v>304</v>
      </c>
      <c r="C54" s="180"/>
      <c r="D54" s="181"/>
      <c r="E54" s="180" t="s">
        <v>117</v>
      </c>
    </row>
    <row r="55" spans="1:5" ht="23.25">
      <c r="A55" s="179">
        <v>1</v>
      </c>
      <c r="B55" s="185" t="s">
        <v>306</v>
      </c>
      <c r="C55" s="203">
        <v>1543460</v>
      </c>
      <c r="D55" s="183">
        <v>1355197.12</v>
      </c>
      <c r="E55" s="180">
        <f>C55-D55</f>
        <v>188262.8799999999</v>
      </c>
    </row>
    <row r="56" spans="1:5" ht="23.25">
      <c r="A56" s="179"/>
      <c r="B56" s="185"/>
      <c r="C56" s="203"/>
      <c r="D56" s="183"/>
      <c r="E56" s="180"/>
    </row>
    <row r="57" spans="1:5" ht="23.25">
      <c r="A57" s="179"/>
      <c r="B57" s="200"/>
      <c r="C57" s="203"/>
      <c r="D57" s="183"/>
      <c r="E57" s="180"/>
    </row>
    <row r="58" spans="1:5" ht="23.25">
      <c r="A58" s="179"/>
      <c r="B58" s="200"/>
      <c r="C58" s="203"/>
      <c r="D58" s="183"/>
      <c r="E58" s="180"/>
    </row>
    <row r="59" spans="1:5" ht="23.25">
      <c r="A59" s="179"/>
      <c r="B59" s="200"/>
      <c r="C59" s="203"/>
      <c r="D59" s="183"/>
      <c r="E59" s="180"/>
    </row>
    <row r="60" spans="1:5" ht="23.25">
      <c r="A60" s="179"/>
      <c r="B60" s="200"/>
      <c r="C60" s="203"/>
      <c r="D60" s="183"/>
      <c r="E60" s="180"/>
    </row>
    <row r="61" spans="1:5" ht="23.25">
      <c r="A61" s="179"/>
      <c r="B61" s="200"/>
      <c r="C61" s="203"/>
      <c r="D61" s="183"/>
      <c r="E61" s="180"/>
    </row>
    <row r="62" spans="1:5" ht="23.25">
      <c r="A62" s="179"/>
      <c r="B62" s="200"/>
      <c r="C62" s="203"/>
      <c r="D62" s="183"/>
      <c r="E62" s="180"/>
    </row>
    <row r="63" spans="1:5" ht="23.25">
      <c r="A63" s="179"/>
      <c r="B63" s="200"/>
      <c r="C63" s="203"/>
      <c r="D63" s="183"/>
      <c r="E63" s="180"/>
    </row>
    <row r="64" spans="1:5" ht="23.25">
      <c r="A64" s="179"/>
      <c r="B64" s="200"/>
      <c r="C64" s="203"/>
      <c r="D64" s="183"/>
      <c r="E64" s="180"/>
    </row>
    <row r="65" spans="1:5" ht="23.25">
      <c r="A65" s="179"/>
      <c r="B65" s="200"/>
      <c r="C65" s="203"/>
      <c r="D65" s="181"/>
      <c r="E65" s="180"/>
    </row>
    <row r="66" spans="1:5" ht="23.25">
      <c r="A66" s="179"/>
      <c r="B66" s="200"/>
      <c r="C66" s="203"/>
      <c r="D66" s="181"/>
      <c r="E66" s="180"/>
    </row>
    <row r="67" spans="1:5" ht="23.25">
      <c r="A67" s="184"/>
      <c r="B67" s="202"/>
      <c r="C67" s="203"/>
      <c r="D67" s="187"/>
      <c r="E67" s="204"/>
    </row>
    <row r="68" spans="1:5" ht="23.25">
      <c r="A68" s="188"/>
      <c r="B68" s="201"/>
      <c r="C68" s="203"/>
      <c r="D68" s="186"/>
      <c r="E68" s="206"/>
    </row>
    <row r="69" spans="1:5" ht="24" thickBot="1">
      <c r="A69" s="190"/>
      <c r="B69" s="191" t="s">
        <v>124</v>
      </c>
      <c r="C69" s="192">
        <f>C55+C56+C57+C58+C59+C60+C61+C62+C63+C64+C65+C66</f>
        <v>1543460</v>
      </c>
      <c r="D69" s="192">
        <f>D55+D58+D59+D60+D61+D62+D63+D64+D65+D66</f>
        <v>1355197.12</v>
      </c>
      <c r="E69" s="193">
        <f>C69-D69</f>
        <v>188262.8799999999</v>
      </c>
    </row>
    <row r="70" spans="1:5" ht="24" thickTop="1">
      <c r="A70" s="182"/>
      <c r="B70" s="182"/>
      <c r="C70" s="182"/>
      <c r="D70" s="194"/>
      <c r="E70" s="182"/>
    </row>
    <row r="71" spans="1:5" ht="23.25">
      <c r="A71" s="182"/>
      <c r="B71" s="182"/>
      <c r="C71" s="182"/>
      <c r="D71" s="194"/>
      <c r="E71" s="182"/>
    </row>
    <row r="72" spans="1:5" ht="23.25">
      <c r="A72" s="182"/>
      <c r="B72" s="182"/>
      <c r="C72" s="182"/>
      <c r="D72" s="194"/>
      <c r="E72" s="182"/>
    </row>
    <row r="73" spans="1:5" ht="23.25">
      <c r="A73" s="182"/>
      <c r="B73" s="182"/>
      <c r="C73" s="205"/>
      <c r="D73" s="194"/>
      <c r="E73" s="182"/>
    </row>
    <row r="75" ht="23.25"/>
    <row r="76" ht="23.25"/>
  </sheetData>
  <sheetProtection/>
  <mergeCells count="11">
    <mergeCell ref="A48:E48"/>
    <mergeCell ref="A49:E49"/>
    <mergeCell ref="A50:E50"/>
    <mergeCell ref="A52:A53"/>
    <mergeCell ref="B52:B53"/>
    <mergeCell ref="F2:G2"/>
    <mergeCell ref="A6:A7"/>
    <mergeCell ref="B6:B7"/>
    <mergeCell ref="A2:E2"/>
    <mergeCell ref="A3:E3"/>
    <mergeCell ref="A4:E4"/>
  </mergeCells>
  <printOptions/>
  <pageMargins left="0.46" right="0.1968503937007874" top="0.4" bottom="0.1968503937007874" header="0.78" footer="0.5118110236220472"/>
  <pageSetup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46"/>
  <sheetViews>
    <sheetView zoomScalePageLayoutView="0" workbookViewId="0" topLeftCell="A1">
      <selection activeCell="I5" sqref="I5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49" t="s">
        <v>473</v>
      </c>
      <c r="H1" s="649"/>
    </row>
    <row r="2" spans="1:8" ht="23.25">
      <c r="A2" s="648" t="str">
        <f>งบทดลอง1!A1</f>
        <v>เทศบาลตำบลท่าสาย</v>
      </c>
      <c r="B2" s="648"/>
      <c r="C2" s="648"/>
      <c r="D2" s="648"/>
      <c r="E2" s="648"/>
      <c r="F2" s="648"/>
      <c r="G2" s="648"/>
      <c r="H2" s="648"/>
    </row>
    <row r="3" spans="1:8" ht="23.25">
      <c r="A3" s="648" t="s">
        <v>113</v>
      </c>
      <c r="B3" s="648"/>
      <c r="C3" s="648"/>
      <c r="D3" s="648"/>
      <c r="E3" s="648"/>
      <c r="F3" s="648"/>
      <c r="G3" s="648"/>
      <c r="H3" s="648"/>
    </row>
    <row r="4" spans="1:8" ht="23.25">
      <c r="A4" s="648" t="str">
        <f>งบทดลอง1!A3</f>
        <v>ณ  วันที่   30  เมษายน  2556</v>
      </c>
      <c r="B4" s="648"/>
      <c r="C4" s="648"/>
      <c r="D4" s="648"/>
      <c r="E4" s="648"/>
      <c r="F4" s="648"/>
      <c r="G4" s="648"/>
      <c r="H4" s="648"/>
    </row>
    <row r="5" spans="1:8" ht="23.25">
      <c r="A5" s="33"/>
      <c r="B5" s="33"/>
      <c r="C5" s="33"/>
      <c r="D5" s="33"/>
      <c r="E5" s="33"/>
      <c r="F5" s="33"/>
      <c r="G5" s="33"/>
      <c r="H5" s="33"/>
    </row>
    <row r="6" spans="1:8" ht="23.25">
      <c r="A6" s="14"/>
      <c r="B6" s="14" t="s">
        <v>64</v>
      </c>
      <c r="C6" s="14"/>
      <c r="D6" s="14"/>
      <c r="E6" s="14"/>
      <c r="F6" s="35">
        <v>13367993.73</v>
      </c>
      <c r="G6" s="35"/>
      <c r="H6" s="14"/>
    </row>
    <row r="7" spans="1:8" ht="23.25">
      <c r="A7" s="196" t="s">
        <v>88</v>
      </c>
      <c r="B7" s="14" t="s">
        <v>514</v>
      </c>
      <c r="C7" s="14"/>
      <c r="D7" s="14"/>
      <c r="E7" s="14"/>
      <c r="F7" s="35">
        <v>10000</v>
      </c>
      <c r="G7" s="35"/>
      <c r="H7" s="14"/>
    </row>
    <row r="8" spans="1:8" ht="23.25">
      <c r="A8" s="14"/>
      <c r="B8" s="14" t="s">
        <v>515</v>
      </c>
      <c r="C8" s="14"/>
      <c r="D8" s="14"/>
      <c r="E8" s="14"/>
      <c r="F8" s="35">
        <v>13000</v>
      </c>
      <c r="G8" s="35"/>
      <c r="H8" s="14"/>
    </row>
    <row r="9" spans="1:8" ht="23.25">
      <c r="A9" s="14"/>
      <c r="B9" s="14" t="s">
        <v>518</v>
      </c>
      <c r="C9" s="14"/>
      <c r="D9" s="14"/>
      <c r="E9" s="14"/>
      <c r="F9" s="35">
        <v>4426</v>
      </c>
      <c r="G9" s="35"/>
      <c r="H9" s="14"/>
    </row>
    <row r="10" spans="1:8" ht="23.25">
      <c r="A10" s="14"/>
      <c r="B10" s="14" t="s">
        <v>516</v>
      </c>
      <c r="C10" s="14"/>
      <c r="D10" s="14"/>
      <c r="E10" s="14"/>
      <c r="F10" s="35">
        <v>113.52</v>
      </c>
      <c r="G10" s="35"/>
      <c r="H10" s="14"/>
    </row>
    <row r="11" spans="1:8" ht="23.25">
      <c r="A11" s="14"/>
      <c r="B11" s="14" t="s">
        <v>519</v>
      </c>
      <c r="C11" s="14"/>
      <c r="D11" s="14"/>
      <c r="E11" s="14"/>
      <c r="F11" s="35">
        <v>260</v>
      </c>
      <c r="G11" s="35"/>
      <c r="H11" s="14"/>
    </row>
    <row r="12" spans="1:8" ht="25.5">
      <c r="A12" s="14"/>
      <c r="B12" s="14" t="s">
        <v>517</v>
      </c>
      <c r="C12" s="14"/>
      <c r="D12" s="14"/>
      <c r="E12" s="14"/>
      <c r="F12" s="527">
        <v>645.54</v>
      </c>
      <c r="G12" s="35">
        <f>+F6+F7+F8+F9+F10+F11+F12</f>
        <v>13396438.79</v>
      </c>
      <c r="H12" s="14"/>
    </row>
    <row r="13" spans="1:8" ht="21" customHeight="1">
      <c r="A13" s="14"/>
      <c r="B13" s="14"/>
      <c r="C13" s="14"/>
      <c r="D13" s="14"/>
      <c r="E13" s="14"/>
      <c r="F13" s="35"/>
      <c r="G13" s="35"/>
      <c r="H13" s="14"/>
    </row>
    <row r="14" spans="1:8" ht="12.75" customHeight="1">
      <c r="A14" s="196"/>
      <c r="B14" s="14"/>
      <c r="C14" s="14"/>
      <c r="D14" s="14"/>
      <c r="E14" s="14"/>
      <c r="F14" s="35"/>
      <c r="G14" s="197"/>
      <c r="H14" s="14"/>
    </row>
    <row r="15" spans="1:8" ht="24" thickBot="1">
      <c r="A15" s="14"/>
      <c r="B15" s="14"/>
      <c r="D15" s="33" t="s">
        <v>87</v>
      </c>
      <c r="E15" s="14"/>
      <c r="F15" s="197"/>
      <c r="G15" s="52">
        <f>G12-G14</f>
        <v>13396438.79</v>
      </c>
      <c r="H15" s="14"/>
    </row>
    <row r="16" spans="1:8" ht="24" thickTop="1">
      <c r="A16" s="14"/>
      <c r="B16" s="14"/>
      <c r="D16" s="33"/>
      <c r="E16" s="14"/>
      <c r="F16" s="197"/>
      <c r="G16" s="49"/>
      <c r="H16" s="14"/>
    </row>
    <row r="17" spans="1:8" ht="23.25">
      <c r="A17" s="14"/>
      <c r="B17" s="14"/>
      <c r="D17" s="33"/>
      <c r="E17" s="14"/>
      <c r="F17" s="197"/>
      <c r="G17" s="49"/>
      <c r="H17" s="14"/>
    </row>
    <row r="18" spans="1:8" ht="23.25">
      <c r="A18" s="14"/>
      <c r="B18" s="14"/>
      <c r="D18" s="33"/>
      <c r="E18" s="14"/>
      <c r="F18" s="197"/>
      <c r="G18" s="49"/>
      <c r="H18" s="14"/>
    </row>
    <row r="19" spans="1:8" ht="23.25">
      <c r="A19" s="14"/>
      <c r="B19" s="14"/>
      <c r="D19" s="33"/>
      <c r="E19" s="14"/>
      <c r="F19" s="197"/>
      <c r="G19" s="49"/>
      <c r="H19" s="14"/>
    </row>
    <row r="20" spans="1:8" ht="23.25">
      <c r="A20" s="649"/>
      <c r="B20" s="649"/>
      <c r="C20" s="649"/>
      <c r="D20" s="649"/>
      <c r="E20" s="649"/>
      <c r="F20" s="649"/>
      <c r="G20" s="649"/>
      <c r="H20" s="14"/>
    </row>
    <row r="21" spans="1:8" ht="23.25">
      <c r="A21" s="648"/>
      <c r="B21" s="648"/>
      <c r="C21" s="648"/>
      <c r="D21" s="648"/>
      <c r="E21" s="648"/>
      <c r="F21" s="648"/>
      <c r="G21" s="648"/>
      <c r="H21" s="14"/>
    </row>
    <row r="22" spans="1:8" ht="23.25">
      <c r="A22" s="648"/>
      <c r="B22" s="648"/>
      <c r="C22" s="648"/>
      <c r="D22" s="648"/>
      <c r="E22" s="648"/>
      <c r="F22" s="648"/>
      <c r="G22" s="648"/>
      <c r="H22" s="14"/>
    </row>
    <row r="23" spans="1:8" ht="31.5" customHeight="1">
      <c r="A23" s="14"/>
      <c r="B23" s="14"/>
      <c r="C23" s="14"/>
      <c r="D23" s="14"/>
      <c r="E23" s="14"/>
      <c r="F23" s="14"/>
      <c r="G23" s="14"/>
      <c r="H23" s="197"/>
    </row>
    <row r="24" spans="1:8" ht="23.25">
      <c r="A24" s="14"/>
      <c r="B24" s="14"/>
      <c r="C24" s="649"/>
      <c r="D24" s="649"/>
      <c r="E24" s="649"/>
      <c r="F24" s="649"/>
      <c r="G24" s="198"/>
      <c r="H24" s="14"/>
    </row>
    <row r="25" spans="1:8" ht="23.25">
      <c r="A25" s="14"/>
      <c r="B25" s="14"/>
      <c r="D25" s="648"/>
      <c r="E25" s="648"/>
      <c r="F25" s="33"/>
      <c r="G25" s="14"/>
      <c r="H25" s="14"/>
    </row>
    <row r="26" spans="1:8" ht="23.25">
      <c r="A26" s="14"/>
      <c r="B26" s="14"/>
      <c r="C26" s="14"/>
      <c r="D26" s="14"/>
      <c r="F26" s="14"/>
      <c r="G26" s="14"/>
      <c r="H26" s="14"/>
    </row>
    <row r="27" spans="1:8" ht="23.25">
      <c r="A27" s="14"/>
      <c r="B27" s="14"/>
      <c r="C27" s="14"/>
      <c r="D27" s="14"/>
      <c r="E27" s="14"/>
      <c r="F27" s="14"/>
      <c r="G27" s="14"/>
      <c r="H27" s="14"/>
    </row>
    <row r="28" ht="21.75"/>
    <row r="29" ht="21.75"/>
    <row r="30" spans="1:7" ht="23.25">
      <c r="A30" s="649"/>
      <c r="B30" s="649"/>
      <c r="C30" s="649"/>
      <c r="D30" s="649"/>
      <c r="E30" s="649"/>
      <c r="F30" s="649"/>
      <c r="G30" s="649"/>
    </row>
    <row r="31" spans="1:7" ht="23.25">
      <c r="A31" s="648"/>
      <c r="B31" s="648"/>
      <c r="C31" s="648"/>
      <c r="D31" s="648"/>
      <c r="E31" s="648"/>
      <c r="F31" s="648"/>
      <c r="G31" s="648"/>
    </row>
    <row r="32" spans="1:7" ht="23.25">
      <c r="A32" s="648"/>
      <c r="B32" s="648"/>
      <c r="C32" s="648"/>
      <c r="D32" s="648"/>
      <c r="E32" s="648"/>
      <c r="F32" s="648"/>
      <c r="G32" s="648"/>
    </row>
    <row r="33" spans="1:7" ht="23.25">
      <c r="A33" s="14"/>
      <c r="B33" s="14"/>
      <c r="C33" s="14"/>
      <c r="D33" s="14"/>
      <c r="E33" s="14"/>
      <c r="F33" s="14"/>
      <c r="G33" s="14"/>
    </row>
    <row r="34" spans="1:7" ht="23.25">
      <c r="A34" s="14"/>
      <c r="B34" s="14"/>
      <c r="C34" s="649"/>
      <c r="D34" s="649"/>
      <c r="E34" s="649"/>
      <c r="F34" s="649"/>
      <c r="G34" s="14"/>
    </row>
    <row r="35" spans="1:7" ht="23.25">
      <c r="A35" s="14"/>
      <c r="B35" s="14"/>
      <c r="C35" s="648"/>
      <c r="D35" s="648"/>
      <c r="E35" s="648"/>
      <c r="F35" s="648"/>
      <c r="G35" s="14"/>
    </row>
    <row r="36" spans="1:7" ht="23.25">
      <c r="A36" s="14"/>
      <c r="B36" s="14"/>
      <c r="C36" s="648"/>
      <c r="D36" s="648"/>
      <c r="E36" s="648"/>
      <c r="F36" s="648"/>
      <c r="G36" s="14"/>
    </row>
    <row r="37" ht="21.75">
      <c r="G37" s="199">
        <f>7930713.76+249-1133022.86</f>
        <v>6797939.899999999</v>
      </c>
    </row>
    <row r="40" spans="1:7" ht="23.25">
      <c r="A40" s="649"/>
      <c r="B40" s="649"/>
      <c r="C40" s="649"/>
      <c r="D40" s="649"/>
      <c r="E40" s="649"/>
      <c r="F40" s="649"/>
      <c r="G40" s="649"/>
    </row>
    <row r="41" spans="1:7" ht="23.25">
      <c r="A41" s="648"/>
      <c r="B41" s="648"/>
      <c r="C41" s="648"/>
      <c r="D41" s="648"/>
      <c r="E41" s="648"/>
      <c r="F41" s="648"/>
      <c r="G41" s="648"/>
    </row>
    <row r="42" spans="1:7" ht="23.25">
      <c r="A42" s="648"/>
      <c r="B42" s="648"/>
      <c r="C42" s="648"/>
      <c r="D42" s="648"/>
      <c r="E42" s="648"/>
      <c r="F42" s="648"/>
      <c r="G42" s="648"/>
    </row>
    <row r="43" spans="1:7" ht="23.25">
      <c r="A43" s="14"/>
      <c r="B43" s="14"/>
      <c r="C43" s="14"/>
      <c r="D43" s="14"/>
      <c r="E43" s="14"/>
      <c r="F43" s="14"/>
      <c r="G43" s="14"/>
    </row>
    <row r="44" spans="1:7" ht="23.25">
      <c r="A44" s="14"/>
      <c r="B44" s="14"/>
      <c r="C44" s="649"/>
      <c r="D44" s="649"/>
      <c r="E44" s="649"/>
      <c r="F44" s="649"/>
      <c r="G44" s="14"/>
    </row>
    <row r="45" spans="1:7" ht="23.25">
      <c r="A45" s="14"/>
      <c r="B45" s="14"/>
      <c r="C45" s="648"/>
      <c r="D45" s="648"/>
      <c r="E45" s="648"/>
      <c r="F45" s="648"/>
      <c r="G45" s="14"/>
    </row>
    <row r="46" spans="1:7" ht="23.25">
      <c r="A46" s="14"/>
      <c r="B46" s="14"/>
      <c r="C46" s="648"/>
      <c r="D46" s="648"/>
      <c r="E46" s="648"/>
      <c r="F46" s="648"/>
      <c r="G46" s="14"/>
    </row>
  </sheetData>
  <sheetProtection/>
  <mergeCells count="30">
    <mergeCell ref="C36:F36"/>
    <mergeCell ref="A32:D32"/>
    <mergeCell ref="E32:G32"/>
    <mergeCell ref="C34:F34"/>
    <mergeCell ref="C35:F35"/>
    <mergeCell ref="A30:D30"/>
    <mergeCell ref="G1:H1"/>
    <mergeCell ref="A2:H2"/>
    <mergeCell ref="A3:H3"/>
    <mergeCell ref="A4:H4"/>
    <mergeCell ref="E21:G21"/>
    <mergeCell ref="A22:D22"/>
    <mergeCell ref="E22:G22"/>
    <mergeCell ref="A40:D40"/>
    <mergeCell ref="E40:G40"/>
    <mergeCell ref="D25:E25"/>
    <mergeCell ref="A20:D20"/>
    <mergeCell ref="E20:G20"/>
    <mergeCell ref="A21:D21"/>
    <mergeCell ref="E30:G30"/>
    <mergeCell ref="A31:D31"/>
    <mergeCell ref="E31:G31"/>
    <mergeCell ref="C24:F24"/>
    <mergeCell ref="A41:D41"/>
    <mergeCell ref="E41:G41"/>
    <mergeCell ref="C46:F46"/>
    <mergeCell ref="A42:D42"/>
    <mergeCell ref="E42:G42"/>
    <mergeCell ref="C44:F44"/>
    <mergeCell ref="C45:F45"/>
  </mergeCells>
  <printOptions/>
  <pageMargins left="0.37" right="0.14" top="0.87" bottom="0.11811023622047245" header="0.17" footer="0.18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B7B717"/>
  </sheetPr>
  <dimension ref="A1:J47"/>
  <sheetViews>
    <sheetView zoomScalePageLayoutView="0" workbookViewId="0" topLeftCell="A16">
      <selection activeCell="I13" sqref="I13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12.28125" style="13" customWidth="1"/>
    <col min="4" max="4" width="33.00390625" style="13" customWidth="1"/>
    <col min="5" max="5" width="13.8515625" style="13" customWidth="1"/>
    <col min="6" max="6" width="14.28125" style="13" customWidth="1"/>
    <col min="7" max="7" width="9.28125" style="13" bestFit="1" customWidth="1"/>
    <col min="8" max="9" width="12.421875" style="13" bestFit="1" customWidth="1"/>
    <col min="10" max="16384" width="9.140625" style="13" customWidth="1"/>
  </cols>
  <sheetData>
    <row r="1" spans="1:7" ht="23.25">
      <c r="A1" s="14"/>
      <c r="B1" s="14"/>
      <c r="C1" s="14"/>
      <c r="D1" s="14"/>
      <c r="E1" s="14"/>
      <c r="F1" s="649" t="s">
        <v>528</v>
      </c>
      <c r="G1" s="649"/>
    </row>
    <row r="2" spans="1:7" ht="23.25">
      <c r="A2" s="648" t="str">
        <f>'[1]งบทดลอง1'!A1</f>
        <v>เทศบาลตำบลท่าสาย</v>
      </c>
      <c r="B2" s="648"/>
      <c r="C2" s="648"/>
      <c r="D2" s="648"/>
      <c r="E2" s="648"/>
      <c r="F2" s="648"/>
      <c r="G2" s="648"/>
    </row>
    <row r="3" spans="1:7" ht="23.25">
      <c r="A3" s="648" t="s">
        <v>529</v>
      </c>
      <c r="B3" s="648"/>
      <c r="C3" s="648"/>
      <c r="D3" s="648"/>
      <c r="E3" s="648"/>
      <c r="F3" s="648"/>
      <c r="G3" s="648"/>
    </row>
    <row r="4" spans="1:7" ht="23.25">
      <c r="A4" s="648" t="str">
        <f>รายละเอียดเงินสะสม!A4</f>
        <v>ณ  วันที่   30  เมษายน  2556</v>
      </c>
      <c r="B4" s="648"/>
      <c r="C4" s="648"/>
      <c r="D4" s="648"/>
      <c r="E4" s="648"/>
      <c r="F4" s="648"/>
      <c r="G4" s="648"/>
    </row>
    <row r="5" spans="1:7" ht="23.25">
      <c r="A5" s="33"/>
      <c r="B5" s="33"/>
      <c r="C5" s="33"/>
      <c r="D5" s="33"/>
      <c r="E5" s="33"/>
      <c r="F5" s="33"/>
      <c r="G5" s="33"/>
    </row>
    <row r="6" spans="1:7" ht="23.25">
      <c r="A6" s="530"/>
      <c r="B6" s="530" t="s">
        <v>533</v>
      </c>
      <c r="C6" s="33"/>
      <c r="D6" s="33"/>
      <c r="E6" s="534">
        <f>10344+219240+220050</f>
        <v>449634</v>
      </c>
      <c r="F6" s="33"/>
      <c r="G6" s="33"/>
    </row>
    <row r="7" spans="1:7" ht="23.25">
      <c r="A7" s="530"/>
      <c r="B7" s="530" t="s">
        <v>559</v>
      </c>
      <c r="C7" s="33"/>
      <c r="D7" s="33"/>
      <c r="E7" s="534">
        <f>2098205.61+2098205.61</f>
        <v>4196411.22</v>
      </c>
      <c r="F7" s="33"/>
      <c r="G7" s="33"/>
    </row>
    <row r="8" spans="1:7" ht="23.25">
      <c r="A8" s="33"/>
      <c r="B8" s="530" t="s">
        <v>534</v>
      </c>
      <c r="C8" s="33"/>
      <c r="D8" s="33"/>
      <c r="E8" s="534">
        <f>41280+9208.28+15000+5000+18416.56+41280+18416.56+9208.28+9208.28</f>
        <v>167017.96</v>
      </c>
      <c r="F8" s="33"/>
      <c r="G8" s="33"/>
    </row>
    <row r="9" spans="1:7" ht="23.25">
      <c r="A9" s="33"/>
      <c r="B9" s="14" t="s">
        <v>530</v>
      </c>
      <c r="C9" s="33"/>
      <c r="D9" s="33"/>
      <c r="E9" s="534">
        <v>480000</v>
      </c>
      <c r="F9" s="33"/>
      <c r="G9" s="33"/>
    </row>
    <row r="10" spans="1:9" ht="23.25">
      <c r="A10" s="33"/>
      <c r="B10" s="14" t="s">
        <v>451</v>
      </c>
      <c r="C10" s="33"/>
      <c r="D10" s="33"/>
      <c r="E10" s="535">
        <f>3844200+3760800</f>
        <v>7605000</v>
      </c>
      <c r="F10" s="536">
        <f>SUM(E6:E10)</f>
        <v>12898063.18</v>
      </c>
      <c r="G10" s="33"/>
      <c r="I10" s="92"/>
    </row>
    <row r="11" spans="1:9" ht="57" customHeight="1">
      <c r="A11" s="196" t="s">
        <v>112</v>
      </c>
      <c r="B11" s="14" t="s">
        <v>531</v>
      </c>
      <c r="C11" s="14"/>
      <c r="D11" s="14"/>
      <c r="E11" s="35">
        <f>1275800+636000+16600+634500+4500+629000-2400+13400+626800+10000</f>
        <v>3844200</v>
      </c>
      <c r="F11" s="197"/>
      <c r="G11" s="14"/>
      <c r="H11" s="92"/>
      <c r="I11" s="92"/>
    </row>
    <row r="12" spans="1:7" ht="24" customHeight="1">
      <c r="A12" s="196"/>
      <c r="B12" s="14" t="s">
        <v>532</v>
      </c>
      <c r="C12" s="14"/>
      <c r="D12" s="14"/>
      <c r="E12" s="35">
        <f>160000+80000+80000+79500+1000+79500</f>
        <v>480000</v>
      </c>
      <c r="F12" s="197"/>
      <c r="G12" s="14"/>
    </row>
    <row r="13" spans="1:7" ht="24" customHeight="1">
      <c r="A13" s="196"/>
      <c r="B13" s="530" t="s">
        <v>675</v>
      </c>
      <c r="C13" s="14"/>
      <c r="D13" s="14"/>
      <c r="E13" s="35">
        <v>4196411.22</v>
      </c>
      <c r="F13" s="197"/>
      <c r="G13" s="14"/>
    </row>
    <row r="14" spans="1:7" ht="24" customHeight="1">
      <c r="A14" s="196"/>
      <c r="B14" s="530" t="s">
        <v>533</v>
      </c>
      <c r="C14" s="14"/>
      <c r="D14" s="14"/>
      <c r="E14" s="35">
        <f>146160+73080+73080+73350+72000-558+1080</f>
        <v>438192</v>
      </c>
      <c r="F14" s="197"/>
      <c r="G14" s="14"/>
    </row>
    <row r="15" spans="1:10" ht="24" customHeight="1">
      <c r="A15" s="196"/>
      <c r="B15" s="530" t="s">
        <v>534</v>
      </c>
      <c r="C15" s="14"/>
      <c r="D15" s="14"/>
      <c r="E15" s="535">
        <f>14210+9208.28+13310+28760+5000+18416.56+9208.28+22968.28+13760+13760+9208.28</f>
        <v>157809.68</v>
      </c>
      <c r="F15" s="49">
        <f>SUM(E11:E15)</f>
        <v>9116612.899999999</v>
      </c>
      <c r="G15" s="14"/>
      <c r="H15" s="92"/>
      <c r="J15" s="92"/>
    </row>
    <row r="16" spans="1:7" ht="33.75" customHeight="1" thickBot="1">
      <c r="A16" s="14"/>
      <c r="B16" s="14"/>
      <c r="C16" s="33" t="s">
        <v>87</v>
      </c>
      <c r="D16" s="14"/>
      <c r="E16" s="197"/>
      <c r="F16" s="537">
        <f>+F10-F15</f>
        <v>3781450.280000001</v>
      </c>
      <c r="G16" s="14"/>
    </row>
    <row r="17" spans="1:7" ht="24" thickTop="1">
      <c r="A17" s="14"/>
      <c r="B17" s="14"/>
      <c r="C17" s="33"/>
      <c r="D17" s="14"/>
      <c r="E17" s="197"/>
      <c r="F17" s="49"/>
      <c r="G17" s="14"/>
    </row>
    <row r="18" spans="1:7" ht="23.25">
      <c r="A18" s="14"/>
      <c r="B18" s="14"/>
      <c r="C18" s="33"/>
      <c r="D18" s="14"/>
      <c r="E18" s="197"/>
      <c r="F18" s="49"/>
      <c r="G18" s="14"/>
    </row>
    <row r="19" spans="1:7" ht="23.25">
      <c r="A19" s="14"/>
      <c r="B19" s="14"/>
      <c r="C19" s="33"/>
      <c r="D19" s="14"/>
      <c r="E19" s="197"/>
      <c r="F19" s="49"/>
      <c r="G19" s="14"/>
    </row>
    <row r="20" spans="1:7" ht="23.25">
      <c r="A20" s="14"/>
      <c r="B20" s="14"/>
      <c r="C20" s="33"/>
      <c r="D20" s="14"/>
      <c r="E20" s="197"/>
      <c r="F20" s="49"/>
      <c r="G20" s="14"/>
    </row>
    <row r="21" spans="1:7" ht="23.25">
      <c r="A21" s="649"/>
      <c r="B21" s="649"/>
      <c r="C21" s="649"/>
      <c r="D21" s="649"/>
      <c r="E21" s="649"/>
      <c r="F21" s="649"/>
      <c r="G21" s="14"/>
    </row>
    <row r="22" spans="1:7" ht="23.25">
      <c r="A22" s="648"/>
      <c r="B22" s="648"/>
      <c r="C22" s="648"/>
      <c r="D22" s="648"/>
      <c r="E22" s="648"/>
      <c r="F22" s="648"/>
      <c r="G22" s="14"/>
    </row>
    <row r="23" spans="1:7" ht="23.25">
      <c r="A23" s="648"/>
      <c r="B23" s="648"/>
      <c r="C23" s="648"/>
      <c r="D23" s="648"/>
      <c r="E23" s="648"/>
      <c r="F23" s="648"/>
      <c r="G23" s="14"/>
    </row>
    <row r="24" spans="1:7" ht="31.5" customHeight="1">
      <c r="A24" s="14"/>
      <c r="B24" s="14"/>
      <c r="C24" s="14"/>
      <c r="D24" s="14"/>
      <c r="E24" s="14"/>
      <c r="F24" s="14"/>
      <c r="G24" s="197"/>
    </row>
    <row r="25" spans="1:7" ht="23.25">
      <c r="A25" s="14"/>
      <c r="B25" s="14"/>
      <c r="C25" s="649"/>
      <c r="D25" s="649"/>
      <c r="E25" s="649"/>
      <c r="F25" s="198"/>
      <c r="G25" s="14"/>
    </row>
    <row r="26" spans="1:7" ht="23.25">
      <c r="A26" s="14"/>
      <c r="B26" s="14"/>
      <c r="C26" s="648"/>
      <c r="D26" s="648"/>
      <c r="E26" s="33"/>
      <c r="F26" s="14"/>
      <c r="G26" s="14"/>
    </row>
    <row r="27" spans="1:7" ht="23.25">
      <c r="A27" s="14"/>
      <c r="B27" s="14"/>
      <c r="C27" s="14"/>
      <c r="E27" s="14"/>
      <c r="F27" s="14"/>
      <c r="G27" s="14"/>
    </row>
    <row r="28" spans="1:7" ht="23.25">
      <c r="A28" s="14"/>
      <c r="B28" s="14"/>
      <c r="C28" s="14"/>
      <c r="D28" s="14"/>
      <c r="E28" s="14"/>
      <c r="F28" s="14"/>
      <c r="G28" s="14"/>
    </row>
    <row r="31" spans="1:6" ht="23.25">
      <c r="A31" s="649"/>
      <c r="B31" s="649"/>
      <c r="C31" s="649"/>
      <c r="D31" s="649"/>
      <c r="E31" s="649"/>
      <c r="F31" s="649"/>
    </row>
    <row r="32" spans="1:6" ht="23.25">
      <c r="A32" s="648"/>
      <c r="B32" s="648"/>
      <c r="C32" s="648"/>
      <c r="D32" s="648"/>
      <c r="E32" s="648"/>
      <c r="F32" s="648"/>
    </row>
    <row r="33" spans="1:6" ht="23.25">
      <c r="A33" s="648"/>
      <c r="B33" s="648"/>
      <c r="C33" s="648"/>
      <c r="D33" s="648"/>
      <c r="E33" s="648"/>
      <c r="F33" s="648"/>
    </row>
    <row r="34" spans="1:6" ht="23.25">
      <c r="A34" s="14"/>
      <c r="B34" s="14"/>
      <c r="C34" s="14"/>
      <c r="D34" s="14"/>
      <c r="E34" s="14"/>
      <c r="F34" s="14"/>
    </row>
    <row r="35" spans="1:6" ht="23.25">
      <c r="A35" s="14"/>
      <c r="B35" s="14"/>
      <c r="C35" s="649"/>
      <c r="D35" s="649"/>
      <c r="E35" s="649"/>
      <c r="F35" s="14"/>
    </row>
    <row r="36" spans="1:6" ht="23.25">
      <c r="A36" s="14"/>
      <c r="B36" s="14"/>
      <c r="C36" s="648"/>
      <c r="D36" s="648"/>
      <c r="E36" s="648"/>
      <c r="F36" s="14"/>
    </row>
    <row r="37" spans="1:6" ht="23.25">
      <c r="A37" s="14"/>
      <c r="B37" s="14"/>
      <c r="C37" s="648"/>
      <c r="D37" s="648"/>
      <c r="E37" s="648"/>
      <c r="F37" s="14"/>
    </row>
    <row r="38" ht="21.75">
      <c r="F38" s="199">
        <f>7930713.76+249-1133022.86</f>
        <v>6797939.899999999</v>
      </c>
    </row>
    <row r="41" spans="1:6" ht="23.25">
      <c r="A41" s="649"/>
      <c r="B41" s="649"/>
      <c r="C41" s="649"/>
      <c r="D41" s="649"/>
      <c r="E41" s="649"/>
      <c r="F41" s="649"/>
    </row>
    <row r="42" spans="1:6" ht="23.25">
      <c r="A42" s="648"/>
      <c r="B42" s="648"/>
      <c r="C42" s="648"/>
      <c r="D42" s="648"/>
      <c r="E42" s="648"/>
      <c r="F42" s="648"/>
    </row>
    <row r="43" spans="1:6" ht="23.25">
      <c r="A43" s="648"/>
      <c r="B43" s="648"/>
      <c r="C43" s="648"/>
      <c r="D43" s="648"/>
      <c r="E43" s="648"/>
      <c r="F43" s="648"/>
    </row>
    <row r="44" spans="1:6" ht="23.25">
      <c r="A44" s="14"/>
      <c r="B44" s="14"/>
      <c r="C44" s="14"/>
      <c r="D44" s="14"/>
      <c r="E44" s="14"/>
      <c r="F44" s="14"/>
    </row>
    <row r="45" spans="1:6" ht="23.25">
      <c r="A45" s="14"/>
      <c r="B45" s="14"/>
      <c r="C45" s="649"/>
      <c r="D45" s="649"/>
      <c r="E45" s="649"/>
      <c r="F45" s="14"/>
    </row>
    <row r="46" spans="1:6" ht="23.25">
      <c r="A46" s="14"/>
      <c r="B46" s="14"/>
      <c r="C46" s="648"/>
      <c r="D46" s="648"/>
      <c r="E46" s="648"/>
      <c r="F46" s="14"/>
    </row>
    <row r="47" spans="1:6" ht="23.25">
      <c r="A47" s="14"/>
      <c r="B47" s="14"/>
      <c r="C47" s="648"/>
      <c r="D47" s="648"/>
      <c r="E47" s="648"/>
      <c r="F47" s="14"/>
    </row>
  </sheetData>
  <sheetProtection/>
  <mergeCells count="30">
    <mergeCell ref="A43:C43"/>
    <mergeCell ref="D43:F43"/>
    <mergeCell ref="C45:E45"/>
    <mergeCell ref="C46:E46"/>
    <mergeCell ref="C47:E47"/>
    <mergeCell ref="C35:E35"/>
    <mergeCell ref="C36:E36"/>
    <mergeCell ref="C37:E37"/>
    <mergeCell ref="A41:C41"/>
    <mergeCell ref="D41:F41"/>
    <mergeCell ref="A42:C42"/>
    <mergeCell ref="D42:F42"/>
    <mergeCell ref="A31:C31"/>
    <mergeCell ref="D31:F31"/>
    <mergeCell ref="A32:C32"/>
    <mergeCell ref="D32:F32"/>
    <mergeCell ref="A33:C33"/>
    <mergeCell ref="D33:F33"/>
    <mergeCell ref="A22:C22"/>
    <mergeCell ref="D22:F22"/>
    <mergeCell ref="A23:C23"/>
    <mergeCell ref="D23:F23"/>
    <mergeCell ref="C25:E25"/>
    <mergeCell ref="C26:D26"/>
    <mergeCell ref="F1:G1"/>
    <mergeCell ref="A2:G2"/>
    <mergeCell ref="A3:G3"/>
    <mergeCell ref="A4:G4"/>
    <mergeCell ref="A21:C21"/>
    <mergeCell ref="D21:F21"/>
  </mergeCells>
  <printOptions/>
  <pageMargins left="0.7" right="0.36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G24"/>
  <sheetViews>
    <sheetView zoomScalePageLayoutView="0" workbookViewId="0" topLeftCell="A10">
      <selection activeCell="B20" sqref="B20"/>
    </sheetView>
  </sheetViews>
  <sheetFormatPr defaultColWidth="9.140625" defaultRowHeight="21.75"/>
  <cols>
    <col min="1" max="1" width="4.28125" style="207" customWidth="1"/>
    <col min="2" max="2" width="62.00390625" style="207" customWidth="1"/>
    <col min="3" max="4" width="17.00390625" style="207" customWidth="1"/>
    <col min="5" max="6" width="9.140625" style="207" customWidth="1"/>
    <col min="7" max="7" width="16.421875" style="207" bestFit="1" customWidth="1"/>
    <col min="8" max="16384" width="9.140625" style="207" customWidth="1"/>
  </cols>
  <sheetData>
    <row r="1" spans="1:4" ht="24">
      <c r="A1" s="650" t="s">
        <v>34</v>
      </c>
      <c r="B1" s="650"/>
      <c r="C1" s="650"/>
      <c r="D1" s="650"/>
    </row>
    <row r="2" spans="1:4" ht="24">
      <c r="A2" s="650" t="s">
        <v>378</v>
      </c>
      <c r="B2" s="650"/>
      <c r="C2" s="650"/>
      <c r="D2" s="650"/>
    </row>
    <row r="3" ht="33.75" customHeight="1">
      <c r="A3" s="209" t="s">
        <v>172</v>
      </c>
    </row>
    <row r="4" spans="2:4" ht="24">
      <c r="B4" s="207" t="s">
        <v>379</v>
      </c>
      <c r="D4" s="210">
        <f>งบทดลอง1!G36</f>
        <v>13396438.79</v>
      </c>
    </row>
    <row r="5" spans="1:4" ht="24">
      <c r="A5" s="208" t="s">
        <v>112</v>
      </c>
      <c r="B5" s="207" t="s">
        <v>173</v>
      </c>
      <c r="D5" s="210">
        <v>70900.69</v>
      </c>
    </row>
    <row r="6" spans="2:4" ht="24.75" thickBot="1">
      <c r="B6" s="209" t="s">
        <v>174</v>
      </c>
      <c r="D6" s="211">
        <f>D4-D5</f>
        <v>13325538.1</v>
      </c>
    </row>
    <row r="7" ht="35.25" customHeight="1" thickTop="1"/>
    <row r="8" ht="24">
      <c r="A8" s="209" t="s">
        <v>175</v>
      </c>
    </row>
    <row r="9" spans="2:4" ht="24">
      <c r="B9" s="207" t="s">
        <v>380</v>
      </c>
      <c r="D9" s="210">
        <f>'รับ-จ่ายเงินสด (2)'!G66</f>
        <v>38916446.32</v>
      </c>
    </row>
    <row r="10" spans="1:4" ht="24">
      <c r="A10" s="208" t="s">
        <v>112</v>
      </c>
      <c r="B10" s="207" t="s">
        <v>176</v>
      </c>
      <c r="C10" s="210" t="e">
        <f>D9-(D6+C11+C12)</f>
        <v>#REF!</v>
      </c>
      <c r="D10" s="210"/>
    </row>
    <row r="11" spans="2:4" ht="24">
      <c r="B11" s="207" t="s">
        <v>177</v>
      </c>
      <c r="C11" s="210" t="e">
        <f>รายละเอียดเงินรับฝาก!#REF!</f>
        <v>#REF!</v>
      </c>
      <c r="D11" s="210"/>
    </row>
    <row r="12" spans="2:7" ht="24">
      <c r="B12" s="207" t="s">
        <v>105</v>
      </c>
      <c r="C12" s="212">
        <f>งบทดลอง1!G37</f>
        <v>10202558.85</v>
      </c>
      <c r="D12" s="210" t="e">
        <f>C10+C11+C12</f>
        <v>#REF!</v>
      </c>
      <c r="G12" s="285" t="e">
        <f>D9-C11-C12-D6</f>
        <v>#REF!</v>
      </c>
    </row>
    <row r="13" spans="2:7" ht="24.75" thickBot="1">
      <c r="B13" s="209" t="s">
        <v>174</v>
      </c>
      <c r="D13" s="211" t="e">
        <f>D9-D12</f>
        <v>#REF!</v>
      </c>
      <c r="G13" s="210"/>
    </row>
    <row r="14" ht="24.75" thickTop="1">
      <c r="G14" s="210"/>
    </row>
    <row r="15" ht="24">
      <c r="B15" s="209" t="s">
        <v>178</v>
      </c>
    </row>
    <row r="16" spans="1:4" ht="24">
      <c r="A16" s="207" t="s">
        <v>179</v>
      </c>
      <c r="D16" s="215">
        <f>D6</f>
        <v>13325538.1</v>
      </c>
    </row>
    <row r="17" ht="24">
      <c r="A17" s="208" t="s">
        <v>112</v>
      </c>
    </row>
    <row r="18" spans="1:3" ht="24">
      <c r="A18" s="213" t="s">
        <v>53</v>
      </c>
      <c r="B18" s="207" t="s">
        <v>334</v>
      </c>
      <c r="C18" s="214">
        <v>341000</v>
      </c>
    </row>
    <row r="19" spans="1:3" ht="24">
      <c r="A19" s="213" t="s">
        <v>53</v>
      </c>
      <c r="B19" s="207" t="s">
        <v>335</v>
      </c>
      <c r="C19" s="214">
        <v>300000</v>
      </c>
    </row>
    <row r="20" spans="1:3" ht="24">
      <c r="A20" s="213" t="s">
        <v>53</v>
      </c>
      <c r="B20" s="207" t="s">
        <v>368</v>
      </c>
      <c r="C20" s="214">
        <v>1067000</v>
      </c>
    </row>
    <row r="21" spans="1:4" ht="24">
      <c r="A21" s="213" t="s">
        <v>53</v>
      </c>
      <c r="B21" s="207" t="s">
        <v>287</v>
      </c>
      <c r="C21" s="214"/>
      <c r="D21" s="212"/>
    </row>
    <row r="22" spans="1:4" ht="24">
      <c r="A22" s="213"/>
      <c r="B22" s="207" t="s">
        <v>270</v>
      </c>
      <c r="C22" s="214">
        <f>D16-C18-C19-C20</f>
        <v>11617538.1</v>
      </c>
      <c r="D22" s="421">
        <f>SUM(C18:C22)</f>
        <v>13325538.1</v>
      </c>
    </row>
    <row r="23" spans="1:4" ht="24.75" thickBot="1">
      <c r="A23" s="207" t="s">
        <v>180</v>
      </c>
      <c r="D23" s="422">
        <f>D16-D22</f>
        <v>0</v>
      </c>
    </row>
    <row r="24" ht="24.75" thickTop="1">
      <c r="A24" s="208"/>
    </row>
  </sheetData>
  <sheetProtection/>
  <mergeCells count="2">
    <mergeCell ref="A1:D1"/>
    <mergeCell ref="A2:D2"/>
  </mergeCells>
  <printOptions/>
  <pageMargins left="0.75" right="0.38" top="0.6" bottom="0.2" header="0.14" footer="0.09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K54"/>
  <sheetViews>
    <sheetView zoomScaleSheetLayoutView="100" zoomScalePageLayoutView="0" workbookViewId="0" topLeftCell="A20">
      <selection activeCell="F13" sqref="F13"/>
    </sheetView>
  </sheetViews>
  <sheetFormatPr defaultColWidth="9.140625" defaultRowHeight="21.75"/>
  <cols>
    <col min="1" max="1" width="1.8515625" style="33" customWidth="1"/>
    <col min="2" max="2" width="2.57421875" style="33" customWidth="1"/>
    <col min="3" max="3" width="47.28125" style="14" customWidth="1"/>
    <col min="4" max="4" width="18.7109375" style="14" customWidth="1"/>
    <col min="5" max="5" width="17.28125" style="14" customWidth="1"/>
    <col min="6" max="6" width="17.140625" style="14" customWidth="1"/>
    <col min="7" max="7" width="18.28125" style="14" customWidth="1"/>
    <col min="8" max="9" width="10.28125" style="14" bestFit="1" customWidth="1"/>
    <col min="10" max="10" width="9.28125" style="14" bestFit="1" customWidth="1"/>
    <col min="11" max="11" width="12.7109375" style="14" bestFit="1" customWidth="1"/>
    <col min="12" max="16384" width="9.140625" style="14" customWidth="1"/>
  </cols>
  <sheetData>
    <row r="1" spans="1:10" ht="23.25">
      <c r="A1" s="653" t="str">
        <f>งบทดลอง1!A1</f>
        <v>เทศบาลตำบลท่าสาย</v>
      </c>
      <c r="B1" s="653"/>
      <c r="C1" s="653"/>
      <c r="D1" s="653"/>
      <c r="E1" s="653"/>
      <c r="F1" s="653"/>
      <c r="G1" s="653"/>
      <c r="H1" s="34"/>
      <c r="I1" s="34"/>
      <c r="J1" s="34"/>
    </row>
    <row r="2" spans="1:10" ht="23.25">
      <c r="A2" s="648" t="s">
        <v>50</v>
      </c>
      <c r="B2" s="648"/>
      <c r="C2" s="648"/>
      <c r="D2" s="648"/>
      <c r="E2" s="648"/>
      <c r="F2" s="648"/>
      <c r="G2" s="648"/>
      <c r="H2" s="34"/>
      <c r="I2" s="34"/>
      <c r="J2" s="34"/>
    </row>
    <row r="3" spans="1:10" ht="23.25">
      <c r="A3" s="648" t="str">
        <f>งบทดลอง1!$A$3</f>
        <v>ณ  วันที่   30  เมษายน  2556</v>
      </c>
      <c r="B3" s="648"/>
      <c r="C3" s="648"/>
      <c r="D3" s="648"/>
      <c r="E3" s="648"/>
      <c r="F3" s="648"/>
      <c r="G3" s="648"/>
      <c r="H3" s="34"/>
      <c r="I3" s="34"/>
      <c r="J3" s="34"/>
    </row>
    <row r="4" spans="3:10" ht="23.25">
      <c r="C4" s="33"/>
      <c r="D4" s="33"/>
      <c r="E4" s="33"/>
      <c r="F4" s="33"/>
      <c r="G4" s="33"/>
      <c r="H4" s="33"/>
      <c r="I4" s="33"/>
      <c r="J4" s="33"/>
    </row>
    <row r="5" spans="1:9" ht="23.25">
      <c r="A5" s="119"/>
      <c r="B5" s="651" t="s">
        <v>36</v>
      </c>
      <c r="C5" s="652"/>
      <c r="D5" s="36" t="s">
        <v>64</v>
      </c>
      <c r="E5" s="36" t="s">
        <v>88</v>
      </c>
      <c r="F5" s="36" t="s">
        <v>89</v>
      </c>
      <c r="G5" s="36" t="s">
        <v>87</v>
      </c>
      <c r="I5" s="197"/>
    </row>
    <row r="6" spans="1:7" ht="23.25">
      <c r="A6" s="119"/>
      <c r="B6" s="46"/>
      <c r="C6" s="120" t="s">
        <v>331</v>
      </c>
      <c r="D6" s="37">
        <v>10763.64</v>
      </c>
      <c r="E6" s="37">
        <v>8196.64</v>
      </c>
      <c r="F6" s="37">
        <v>9011.94</v>
      </c>
      <c r="G6" s="37">
        <f>D6+E6-F6</f>
        <v>9948.339999999998</v>
      </c>
    </row>
    <row r="7" spans="1:7" ht="23.25">
      <c r="A7" s="119"/>
      <c r="B7" s="46"/>
      <c r="C7" s="120" t="s">
        <v>106</v>
      </c>
      <c r="D7" s="37">
        <v>14538.85</v>
      </c>
      <c r="E7" s="37">
        <v>1214.3</v>
      </c>
      <c r="F7" s="37"/>
      <c r="G7" s="37">
        <f aca="true" t="shared" si="0" ref="G7:G15">D7+E7-F7</f>
        <v>15753.15</v>
      </c>
    </row>
    <row r="8" spans="1:7" ht="23.25">
      <c r="A8" s="119"/>
      <c r="B8" s="46"/>
      <c r="C8" s="120" t="s">
        <v>109</v>
      </c>
      <c r="D8" s="37">
        <v>9885.54</v>
      </c>
      <c r="E8" s="37"/>
      <c r="F8" s="37"/>
      <c r="G8" s="37">
        <f t="shared" si="0"/>
        <v>9885.54</v>
      </c>
    </row>
    <row r="9" spans="1:7" ht="23.25">
      <c r="A9" s="119"/>
      <c r="B9" s="46"/>
      <c r="C9" s="120" t="s">
        <v>107</v>
      </c>
      <c r="D9" s="37">
        <v>139058.75</v>
      </c>
      <c r="E9" s="37">
        <v>410.02</v>
      </c>
      <c r="F9" s="37"/>
      <c r="G9" s="37">
        <f t="shared" si="0"/>
        <v>139468.77</v>
      </c>
    </row>
    <row r="10" spans="1:7" ht="23.25">
      <c r="A10" s="119"/>
      <c r="B10" s="46"/>
      <c r="C10" s="120" t="s">
        <v>108</v>
      </c>
      <c r="D10" s="37">
        <v>112980</v>
      </c>
      <c r="E10" s="37"/>
      <c r="F10" s="37">
        <v>3830</v>
      </c>
      <c r="G10" s="37">
        <f t="shared" si="0"/>
        <v>109150</v>
      </c>
    </row>
    <row r="11" spans="1:11" ht="23.25">
      <c r="A11" s="119"/>
      <c r="B11" s="46"/>
      <c r="C11" s="120" t="s">
        <v>116</v>
      </c>
      <c r="D11" s="37">
        <v>5101</v>
      </c>
      <c r="E11" s="37"/>
      <c r="F11" s="37"/>
      <c r="G11" s="37">
        <f t="shared" si="0"/>
        <v>5101</v>
      </c>
      <c r="I11" s="35"/>
      <c r="J11" s="35"/>
      <c r="K11" s="35"/>
    </row>
    <row r="12" spans="1:11" ht="23.25">
      <c r="A12" s="119"/>
      <c r="B12" s="46"/>
      <c r="C12" s="120" t="s">
        <v>505</v>
      </c>
      <c r="D12" s="37">
        <v>12096</v>
      </c>
      <c r="E12" s="37"/>
      <c r="F12" s="37">
        <v>11992</v>
      </c>
      <c r="G12" s="37">
        <f t="shared" si="0"/>
        <v>104</v>
      </c>
      <c r="I12" s="35"/>
      <c r="J12" s="35"/>
      <c r="K12" s="35"/>
    </row>
    <row r="13" spans="1:11" ht="23.25">
      <c r="A13" s="119"/>
      <c r="B13" s="46"/>
      <c r="C13" s="120" t="s">
        <v>506</v>
      </c>
      <c r="D13" s="37">
        <v>1200</v>
      </c>
      <c r="E13" s="37"/>
      <c r="F13" s="37"/>
      <c r="G13" s="37">
        <f t="shared" si="0"/>
        <v>1200</v>
      </c>
      <c r="I13" s="35"/>
      <c r="J13" s="35"/>
      <c r="K13" s="35">
        <f>2841162.84+9011.94</f>
        <v>2850174.78</v>
      </c>
    </row>
    <row r="14" spans="1:7" ht="23.25">
      <c r="A14" s="119"/>
      <c r="B14" s="46"/>
      <c r="C14" s="120" t="s">
        <v>171</v>
      </c>
      <c r="D14" s="37">
        <v>2790</v>
      </c>
      <c r="E14" s="37"/>
      <c r="F14" s="37"/>
      <c r="G14" s="37">
        <f t="shared" si="0"/>
        <v>2790</v>
      </c>
    </row>
    <row r="15" spans="1:11" ht="23.25">
      <c r="A15" s="119"/>
      <c r="B15" s="46"/>
      <c r="C15" s="120" t="s">
        <v>283</v>
      </c>
      <c r="D15" s="37">
        <v>0</v>
      </c>
      <c r="E15" s="37"/>
      <c r="F15" s="37"/>
      <c r="G15" s="37">
        <f t="shared" si="0"/>
        <v>0</v>
      </c>
      <c r="K15" s="197">
        <f>+K13-2869794.78</f>
        <v>-19620</v>
      </c>
    </row>
    <row r="16" spans="1:7" ht="23.25">
      <c r="A16" s="119"/>
      <c r="B16" s="526"/>
      <c r="C16" s="492" t="s">
        <v>508</v>
      </c>
      <c r="D16" s="39">
        <v>521995</v>
      </c>
      <c r="E16" s="121"/>
      <c r="F16" s="39"/>
      <c r="G16" s="39">
        <f aca="true" t="shared" si="1" ref="G16:G23">D16+E16-F16</f>
        <v>521995</v>
      </c>
    </row>
    <row r="17" spans="1:7" ht="23.25">
      <c r="A17" s="119"/>
      <c r="B17" s="514"/>
      <c r="C17" s="294" t="s">
        <v>509</v>
      </c>
      <c r="D17" s="493"/>
      <c r="E17" s="496"/>
      <c r="F17" s="496"/>
      <c r="G17" s="493"/>
    </row>
    <row r="18" spans="1:7" ht="23.25">
      <c r="A18" s="119"/>
      <c r="B18" s="46"/>
      <c r="C18" s="120" t="s">
        <v>427</v>
      </c>
      <c r="D18" s="37">
        <v>13745.5</v>
      </c>
      <c r="E18" s="37"/>
      <c r="F18" s="37"/>
      <c r="G18" s="37">
        <f t="shared" si="1"/>
        <v>13745.5</v>
      </c>
    </row>
    <row r="19" spans="1:8" ht="23.25">
      <c r="A19" s="119"/>
      <c r="B19" s="526"/>
      <c r="C19" s="492" t="s">
        <v>371</v>
      </c>
      <c r="D19" s="39">
        <v>114018.39</v>
      </c>
      <c r="E19" s="39"/>
      <c r="F19" s="121"/>
      <c r="G19" s="39">
        <f t="shared" si="1"/>
        <v>114018.39</v>
      </c>
      <c r="H19" s="35"/>
    </row>
    <row r="20" spans="1:7" ht="23.25">
      <c r="A20" s="119"/>
      <c r="B20" s="514"/>
      <c r="C20" s="294" t="s">
        <v>510</v>
      </c>
      <c r="D20" s="495"/>
      <c r="E20" s="493"/>
      <c r="F20" s="496"/>
      <c r="G20" s="493"/>
    </row>
    <row r="21" spans="1:7" ht="23.25">
      <c r="A21" s="23"/>
      <c r="B21" s="526"/>
      <c r="C21" s="492" t="s">
        <v>507</v>
      </c>
      <c r="D21" s="39">
        <v>165002</v>
      </c>
      <c r="E21" s="525"/>
      <c r="F21" s="525"/>
      <c r="G21" s="39">
        <f t="shared" si="1"/>
        <v>165002</v>
      </c>
    </row>
    <row r="22" spans="1:10" ht="23.25">
      <c r="A22" s="23"/>
      <c r="B22" s="538"/>
      <c r="C22" s="294" t="s">
        <v>511</v>
      </c>
      <c r="D22" s="495"/>
      <c r="E22" s="494"/>
      <c r="F22" s="494"/>
      <c r="G22" s="493"/>
      <c r="H22" s="197"/>
      <c r="J22" s="197"/>
    </row>
    <row r="23" spans="1:7" ht="23.25">
      <c r="A23" s="23"/>
      <c r="B23" s="514"/>
      <c r="C23" s="294" t="s">
        <v>512</v>
      </c>
      <c r="D23" s="39">
        <v>5000</v>
      </c>
      <c r="E23" s="494"/>
      <c r="F23" s="494"/>
      <c r="G23" s="37">
        <f t="shared" si="1"/>
        <v>5000</v>
      </c>
    </row>
    <row r="24" spans="4:9" ht="24" thickBot="1">
      <c r="D24" s="497">
        <f>SUM(D6:D23)</f>
        <v>1128174.67</v>
      </c>
      <c r="E24" s="497">
        <f>SUM(E6:E23)</f>
        <v>9820.96</v>
      </c>
      <c r="F24" s="497">
        <f>SUM(F6:F23)</f>
        <v>24833.940000000002</v>
      </c>
      <c r="G24" s="497">
        <f>SUM(G6:G23)</f>
        <v>1113161.69</v>
      </c>
      <c r="I24" s="197"/>
    </row>
    <row r="25" ht="24" thickTop="1"/>
    <row r="26" ht="23.25"/>
    <row r="27" ht="23.25"/>
    <row r="28" ht="23.25"/>
    <row r="29" ht="23.25"/>
    <row r="30" ht="23.25"/>
    <row r="31" ht="23.25"/>
    <row r="32" ht="23.25"/>
    <row r="47" spans="3:6" ht="23.25">
      <c r="C47" s="90" t="s">
        <v>118</v>
      </c>
      <c r="D47" s="90"/>
      <c r="E47" s="90"/>
      <c r="F47" s="90"/>
    </row>
    <row r="48" spans="3:6" ht="23.25">
      <c r="C48" s="90" t="s">
        <v>119</v>
      </c>
      <c r="D48" s="90"/>
      <c r="E48" s="90"/>
      <c r="F48" s="90"/>
    </row>
    <row r="49" spans="3:6" ht="23.25">
      <c r="C49" s="90" t="s">
        <v>120</v>
      </c>
      <c r="D49" s="90"/>
      <c r="E49" s="90"/>
      <c r="F49" s="90"/>
    </row>
    <row r="52" spans="3:6" ht="23.25">
      <c r="C52" s="90" t="s">
        <v>128</v>
      </c>
      <c r="D52" s="90"/>
      <c r="E52" s="90"/>
      <c r="F52" s="90"/>
    </row>
    <row r="53" spans="3:6" ht="23.25">
      <c r="C53" s="90" t="s">
        <v>129</v>
      </c>
      <c r="D53" s="90"/>
      <c r="E53" s="90"/>
      <c r="F53" s="90"/>
    </row>
    <row r="54" spans="3:6" ht="23.25">
      <c r="C54" s="90" t="s">
        <v>130</v>
      </c>
      <c r="D54" s="90"/>
      <c r="E54" s="90"/>
      <c r="F54" s="90"/>
    </row>
  </sheetData>
  <sheetProtection/>
  <mergeCells count="4">
    <mergeCell ref="B5:C5"/>
    <mergeCell ref="A3:G3"/>
    <mergeCell ref="A2:G2"/>
    <mergeCell ref="A1:G1"/>
  </mergeCells>
  <printOptions/>
  <pageMargins left="0.31" right="0.1968503937007874" top="0.5905511811023623" bottom="0.2755905511811024" header="0.5118110236220472" footer="0.5118110236220472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AB121"/>
  <sheetViews>
    <sheetView zoomScalePageLayoutView="0" workbookViewId="0" topLeftCell="A75">
      <selection activeCell="A81" sqref="A81:IV81"/>
    </sheetView>
  </sheetViews>
  <sheetFormatPr defaultColWidth="9.140625" defaultRowHeight="21.75"/>
  <cols>
    <col min="1" max="1" width="35.8515625" style="13" customWidth="1"/>
    <col min="2" max="2" width="12.140625" style="13" customWidth="1"/>
    <col min="3" max="3" width="11.57421875" style="313" customWidth="1"/>
    <col min="4" max="4" width="5.140625" style="13" customWidth="1"/>
    <col min="5" max="6" width="10.57421875" style="13" customWidth="1"/>
    <col min="7" max="7" width="5.140625" style="13" customWidth="1"/>
    <col min="8" max="9" width="10.57421875" style="13" customWidth="1"/>
    <col min="10" max="10" width="5.140625" style="13" customWidth="1"/>
    <col min="11" max="11" width="10.57421875" style="13" customWidth="1"/>
    <col min="12" max="12" width="5.140625" style="13" customWidth="1"/>
    <col min="13" max="15" width="10.57421875" style="13" customWidth="1"/>
    <col min="16" max="16" width="5.140625" style="13" customWidth="1"/>
    <col min="17" max="17" width="10.57421875" style="13" customWidth="1"/>
    <col min="18" max="18" width="5.140625" style="13" customWidth="1"/>
    <col min="19" max="20" width="10.57421875" style="13" customWidth="1"/>
    <col min="21" max="21" width="5.140625" style="13" customWidth="1"/>
    <col min="22" max="23" width="10.57421875" style="13" customWidth="1"/>
    <col min="24" max="24" width="5.140625" style="13" customWidth="1"/>
    <col min="25" max="25" width="12.00390625" style="13" customWidth="1"/>
    <col min="26" max="26" width="16.00390625" style="340" customWidth="1"/>
    <col min="27" max="27" width="12.421875" style="13" bestFit="1" customWidth="1"/>
    <col min="28" max="28" width="15.28125" style="13" customWidth="1"/>
    <col min="29" max="29" width="18.421875" style="13" customWidth="1"/>
    <col min="30" max="16384" width="9.140625" style="13" customWidth="1"/>
  </cols>
  <sheetData>
    <row r="1" spans="1:28" s="1" customFormat="1" ht="23.25">
      <c r="A1" s="663" t="s">
        <v>181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216"/>
      <c r="AB1" s="216"/>
    </row>
    <row r="2" spans="1:26" ht="21.75">
      <c r="A2" s="663" t="s">
        <v>182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</row>
    <row r="3" spans="1:26" ht="21.75">
      <c r="A3" s="667" t="s">
        <v>565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</row>
    <row r="4" spans="1:26" ht="15" customHeight="1">
      <c r="A4" s="217"/>
      <c r="B4" s="217"/>
      <c r="C4" s="308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322"/>
    </row>
    <row r="5" spans="1:26" ht="21.75">
      <c r="A5" s="218" t="s">
        <v>183</v>
      </c>
      <c r="B5" s="664" t="s">
        <v>184</v>
      </c>
      <c r="C5" s="659"/>
      <c r="D5" s="656"/>
      <c r="E5" s="654" t="s">
        <v>185</v>
      </c>
      <c r="F5" s="655"/>
      <c r="G5" s="656"/>
      <c r="H5" s="654" t="s">
        <v>186</v>
      </c>
      <c r="I5" s="655"/>
      <c r="J5" s="220"/>
      <c r="K5" s="221" t="s">
        <v>187</v>
      </c>
      <c r="L5" s="222"/>
      <c r="M5" s="654" t="s">
        <v>188</v>
      </c>
      <c r="N5" s="660"/>
      <c r="O5" s="655"/>
      <c r="P5" s="656"/>
      <c r="Q5" s="219" t="s">
        <v>189</v>
      </c>
      <c r="R5" s="223"/>
      <c r="S5" s="664" t="s">
        <v>190</v>
      </c>
      <c r="T5" s="659"/>
      <c r="U5" s="656"/>
      <c r="V5" s="654" t="s">
        <v>275</v>
      </c>
      <c r="W5" s="655"/>
      <c r="X5" s="219"/>
      <c r="Y5" s="224" t="s">
        <v>191</v>
      </c>
      <c r="Z5" s="661" t="s">
        <v>84</v>
      </c>
    </row>
    <row r="6" spans="1:26" ht="21.75">
      <c r="A6" s="225" t="s">
        <v>192</v>
      </c>
      <c r="B6" s="226" t="s">
        <v>193</v>
      </c>
      <c r="C6" s="226" t="s">
        <v>194</v>
      </c>
      <c r="D6" s="657"/>
      <c r="E6" s="219" t="s">
        <v>195</v>
      </c>
      <c r="F6" s="219" t="s">
        <v>196</v>
      </c>
      <c r="G6" s="657"/>
      <c r="H6" s="219" t="s">
        <v>197</v>
      </c>
      <c r="I6" s="219" t="s">
        <v>198</v>
      </c>
      <c r="J6" s="228"/>
      <c r="K6" s="221" t="s">
        <v>199</v>
      </c>
      <c r="L6" s="226"/>
      <c r="M6" s="229" t="s">
        <v>200</v>
      </c>
      <c r="N6" s="229" t="s">
        <v>201</v>
      </c>
      <c r="O6" s="229" t="s">
        <v>202</v>
      </c>
      <c r="P6" s="657"/>
      <c r="Q6" s="229" t="s">
        <v>203</v>
      </c>
      <c r="R6" s="226"/>
      <c r="S6" s="229" t="s">
        <v>204</v>
      </c>
      <c r="T6" s="229" t="s">
        <v>205</v>
      </c>
      <c r="U6" s="657"/>
      <c r="V6" s="224" t="s">
        <v>374</v>
      </c>
      <c r="W6" s="227" t="s">
        <v>276</v>
      </c>
      <c r="X6" s="227"/>
      <c r="Y6" s="230" t="s">
        <v>206</v>
      </c>
      <c r="Z6" s="662"/>
    </row>
    <row r="7" spans="1:27" s="307" customFormat="1" ht="21.75">
      <c r="A7" s="231" t="s">
        <v>264</v>
      </c>
      <c r="B7" s="316">
        <v>1381720.25</v>
      </c>
      <c r="C7" s="316">
        <v>509580</v>
      </c>
      <c r="D7" s="316" t="s">
        <v>117</v>
      </c>
      <c r="E7" s="316">
        <v>133355</v>
      </c>
      <c r="F7" s="315">
        <v>0</v>
      </c>
      <c r="G7" s="316" t="s">
        <v>117</v>
      </c>
      <c r="H7" s="315">
        <v>0</v>
      </c>
      <c r="I7" s="315">
        <v>0</v>
      </c>
      <c r="J7" s="315">
        <v>0</v>
      </c>
      <c r="K7" s="315">
        <v>0</v>
      </c>
      <c r="L7" s="315">
        <v>0</v>
      </c>
      <c r="M7" s="316">
        <v>232892.57</v>
      </c>
      <c r="N7" s="315">
        <v>0</v>
      </c>
      <c r="O7" s="315">
        <v>0</v>
      </c>
      <c r="P7" s="315">
        <v>0</v>
      </c>
      <c r="Q7" s="315">
        <v>0</v>
      </c>
      <c r="R7" s="315">
        <v>0</v>
      </c>
      <c r="S7" s="315">
        <v>0</v>
      </c>
      <c r="T7" s="315">
        <v>0</v>
      </c>
      <c r="U7" s="315">
        <v>0</v>
      </c>
      <c r="V7" s="315"/>
      <c r="W7" s="315">
        <v>0</v>
      </c>
      <c r="X7" s="315">
        <v>0</v>
      </c>
      <c r="Y7" s="315">
        <v>0</v>
      </c>
      <c r="Z7" s="323">
        <v>2257547.82</v>
      </c>
      <c r="AA7" s="314"/>
    </row>
    <row r="8" spans="1:26" ht="21.75">
      <c r="A8" s="231" t="s">
        <v>207</v>
      </c>
      <c r="B8" s="233">
        <f>57960+10000</f>
        <v>67960</v>
      </c>
      <c r="C8" s="233" t="s">
        <v>117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324">
        <f>B8</f>
        <v>67960</v>
      </c>
    </row>
    <row r="9" spans="1:26" ht="21.75">
      <c r="A9" s="231" t="s">
        <v>208</v>
      </c>
      <c r="B9" s="233">
        <v>166350</v>
      </c>
      <c r="C9" s="233">
        <v>87980</v>
      </c>
      <c r="D9" s="232"/>
      <c r="E9" s="233">
        <v>23640</v>
      </c>
      <c r="F9" s="232"/>
      <c r="G9" s="232"/>
      <c r="H9" s="232"/>
      <c r="I9" s="232"/>
      <c r="J9" s="232"/>
      <c r="K9" s="232"/>
      <c r="L9" s="232"/>
      <c r="M9" s="233">
        <v>43890</v>
      </c>
      <c r="N9" s="234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324">
        <f>B9+C9+E9+F9+H9+I9+K9+M9+N9+O9+Q9+S9+T9+Y9</f>
        <v>321860</v>
      </c>
    </row>
    <row r="10" spans="1:26" ht="21.75">
      <c r="A10" s="231" t="s">
        <v>209</v>
      </c>
      <c r="B10" s="235">
        <v>17890</v>
      </c>
      <c r="C10" s="235">
        <f>29040+2320</f>
        <v>31360</v>
      </c>
      <c r="D10" s="236"/>
      <c r="E10" s="235">
        <f>2365+270</f>
        <v>2635</v>
      </c>
      <c r="F10" s="236"/>
      <c r="G10" s="236"/>
      <c r="H10" s="236"/>
      <c r="I10" s="236"/>
      <c r="J10" s="236"/>
      <c r="K10" s="236"/>
      <c r="L10" s="236"/>
      <c r="M10" s="235">
        <f>1500+1630</f>
        <v>3130</v>
      </c>
      <c r="N10" s="237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324">
        <f>B10+C10+E10+F10+H10+I10+K10+M10+N10+O10+Q10+S10+T10+Y10</f>
        <v>55015</v>
      </c>
    </row>
    <row r="11" spans="1:26" ht="21.75">
      <c r="A11" s="231" t="s">
        <v>210</v>
      </c>
      <c r="B11" s="233">
        <v>13500</v>
      </c>
      <c r="C11" s="233"/>
      <c r="D11" s="232"/>
      <c r="E11" s="233"/>
      <c r="F11" s="232"/>
      <c r="G11" s="232"/>
      <c r="H11" s="232"/>
      <c r="I11" s="232"/>
      <c r="J11" s="232"/>
      <c r="K11" s="232"/>
      <c r="L11" s="232"/>
      <c r="M11" s="233"/>
      <c r="N11" s="234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324">
        <f>B11+C11+E11+F11+H11+I11+K11+M11+N11+O11+Q11+S11+T11+Y11</f>
        <v>13500</v>
      </c>
    </row>
    <row r="12" spans="1:26" ht="21.75">
      <c r="A12" s="231" t="s">
        <v>547</v>
      </c>
      <c r="B12" s="233">
        <v>16560</v>
      </c>
      <c r="C12" s="233"/>
      <c r="D12" s="232"/>
      <c r="E12" s="233"/>
      <c r="F12" s="232"/>
      <c r="G12" s="232"/>
      <c r="H12" s="232"/>
      <c r="I12" s="232"/>
      <c r="J12" s="232"/>
      <c r="K12" s="232"/>
      <c r="L12" s="232"/>
      <c r="M12" s="233"/>
      <c r="N12" s="234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324">
        <f>B12+C12+E12+F12+H12+I12+K12+M12+N12+O12+Q12+S12+T12+Y12</f>
        <v>16560</v>
      </c>
    </row>
    <row r="13" spans="1:26" ht="22.5" thickBot="1">
      <c r="A13" s="231" t="s">
        <v>271</v>
      </c>
      <c r="B13" s="233">
        <f>27600+96600</f>
        <v>124200</v>
      </c>
      <c r="C13" s="233"/>
      <c r="D13" s="232"/>
      <c r="E13" s="233"/>
      <c r="F13" s="232"/>
      <c r="G13" s="232"/>
      <c r="H13" s="232"/>
      <c r="I13" s="232"/>
      <c r="J13" s="232"/>
      <c r="K13" s="232"/>
      <c r="L13" s="232"/>
      <c r="M13" s="233"/>
      <c r="N13" s="234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324">
        <f>B13+C13+E13+F13+H13+I13+K13+M13+N13+O13+Q13+S13+T13+Y13</f>
        <v>124200</v>
      </c>
    </row>
    <row r="14" spans="1:26" ht="22.5" thickBot="1">
      <c r="A14" s="238" t="s">
        <v>211</v>
      </c>
      <c r="B14" s="239">
        <f>B8+B9+B10+B11+B12+B13</f>
        <v>406460</v>
      </c>
      <c r="C14" s="239">
        <f>SUM(C8:C13)</f>
        <v>119340</v>
      </c>
      <c r="D14" s="240"/>
      <c r="E14" s="239">
        <f>SUM(E8:E13)</f>
        <v>26275</v>
      </c>
      <c r="F14" s="240"/>
      <c r="G14" s="240"/>
      <c r="H14" s="240"/>
      <c r="I14" s="240"/>
      <c r="J14" s="240"/>
      <c r="K14" s="240"/>
      <c r="L14" s="240"/>
      <c r="M14" s="239">
        <f>SUM(M9:M13)</f>
        <v>47020</v>
      </c>
      <c r="N14" s="241"/>
      <c r="O14" s="240"/>
      <c r="P14" s="240"/>
      <c r="Q14" s="241"/>
      <c r="R14" s="240"/>
      <c r="S14" s="240"/>
      <c r="T14" s="240"/>
      <c r="U14" s="240"/>
      <c r="V14" s="240"/>
      <c r="W14" s="240"/>
      <c r="X14" s="240"/>
      <c r="Y14" s="240"/>
      <c r="Z14" s="326">
        <f>B14+C14+E14+M14</f>
        <v>599095</v>
      </c>
    </row>
    <row r="15" spans="1:28" ht="22.5" thickBot="1">
      <c r="A15" s="243" t="s">
        <v>212</v>
      </c>
      <c r="B15" s="239">
        <f>B14+B7</f>
        <v>1788180.25</v>
      </c>
      <c r="C15" s="239">
        <f>C14+C7</f>
        <v>628920</v>
      </c>
      <c r="D15" s="240"/>
      <c r="E15" s="239">
        <f>E14+E7</f>
        <v>159630</v>
      </c>
      <c r="F15" s="239"/>
      <c r="G15" s="240"/>
      <c r="H15" s="240"/>
      <c r="I15" s="240"/>
      <c r="J15" s="240"/>
      <c r="K15" s="240"/>
      <c r="L15" s="240"/>
      <c r="M15" s="239">
        <f>M14+M7</f>
        <v>279912.57</v>
      </c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326">
        <f>Z7+Z14</f>
        <v>2856642.82</v>
      </c>
      <c r="AA15" s="42">
        <f>Z15-งบทดลอง1!F19</f>
        <v>-588975.0000000005</v>
      </c>
      <c r="AB15" s="42"/>
    </row>
    <row r="16" spans="1:26" ht="21.75">
      <c r="A16" s="231" t="s">
        <v>265</v>
      </c>
      <c r="B16" s="318">
        <v>232800</v>
      </c>
      <c r="C16" s="318">
        <v>90800</v>
      </c>
      <c r="D16" s="300">
        <v>0</v>
      </c>
      <c r="E16" s="318">
        <v>4500</v>
      </c>
      <c r="F16" s="300">
        <v>0</v>
      </c>
      <c r="G16" s="300">
        <v>0</v>
      </c>
      <c r="H16" s="300">
        <v>0</v>
      </c>
      <c r="I16" s="300">
        <v>0</v>
      </c>
      <c r="J16" s="300">
        <v>0</v>
      </c>
      <c r="K16" s="300">
        <v>0</v>
      </c>
      <c r="L16" s="300">
        <v>0</v>
      </c>
      <c r="M16" s="317">
        <v>167490</v>
      </c>
      <c r="N16" s="300"/>
      <c r="O16" s="317">
        <v>135700</v>
      </c>
      <c r="P16" s="300">
        <v>0</v>
      </c>
      <c r="Q16" s="300">
        <v>0</v>
      </c>
      <c r="R16" s="300">
        <v>0</v>
      </c>
      <c r="S16" s="300">
        <v>0</v>
      </c>
      <c r="T16" s="300">
        <v>0</v>
      </c>
      <c r="U16" s="300">
        <v>0</v>
      </c>
      <c r="V16" s="300"/>
      <c r="W16" s="300">
        <v>0</v>
      </c>
      <c r="X16" s="300">
        <v>0</v>
      </c>
      <c r="Y16" s="300">
        <v>0</v>
      </c>
      <c r="Z16" s="327">
        <v>630290</v>
      </c>
    </row>
    <row r="17" spans="1:26" ht="21.75">
      <c r="A17" s="231" t="s">
        <v>213</v>
      </c>
      <c r="B17" s="324">
        <f>31040+14720</f>
        <v>45760</v>
      </c>
      <c r="C17" s="324">
        <f>14310+4450</f>
        <v>18760</v>
      </c>
      <c r="D17" s="233" t="s">
        <v>117</v>
      </c>
      <c r="E17" s="324">
        <v>900</v>
      </c>
      <c r="F17" s="232"/>
      <c r="G17" s="232"/>
      <c r="H17" s="232"/>
      <c r="I17" s="232"/>
      <c r="J17" s="232"/>
      <c r="K17" s="232"/>
      <c r="L17" s="232"/>
      <c r="M17" s="233">
        <v>48510</v>
      </c>
      <c r="N17" s="232"/>
      <c r="O17" s="233">
        <f>21240+5900</f>
        <v>27140</v>
      </c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324">
        <f>B17+C17+E17+F17+H17+I17+K17+M17+N17+O17+Q17+S17+T17+Y17</f>
        <v>141070</v>
      </c>
    </row>
    <row r="18" spans="1:26" ht="22.5" thickBot="1">
      <c r="A18" s="231"/>
      <c r="B18" s="232"/>
      <c r="C18" s="233"/>
      <c r="D18" s="232"/>
      <c r="E18" s="232"/>
      <c r="F18" s="232"/>
      <c r="G18" s="232"/>
      <c r="H18" s="232"/>
      <c r="I18" s="232"/>
      <c r="J18" s="232"/>
      <c r="K18" s="232"/>
      <c r="L18" s="232"/>
      <c r="M18" s="233"/>
      <c r="N18" s="232"/>
      <c r="O18" s="233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325"/>
    </row>
    <row r="19" spans="1:26" ht="22.5" thickBot="1">
      <c r="A19" s="238" t="s">
        <v>211</v>
      </c>
      <c r="B19" s="242">
        <f>SUM(B17:B18)</f>
        <v>45760</v>
      </c>
      <c r="C19" s="242">
        <f>SUM(C17:C18)</f>
        <v>18760</v>
      </c>
      <c r="D19" s="242"/>
      <c r="E19" s="242">
        <f>SUM(E17:E18)</f>
        <v>900</v>
      </c>
      <c r="F19" s="240"/>
      <c r="G19" s="240"/>
      <c r="H19" s="240"/>
      <c r="I19" s="240"/>
      <c r="J19" s="240"/>
      <c r="K19" s="240"/>
      <c r="L19" s="240"/>
      <c r="M19" s="302">
        <f>SUM(M17:M18)</f>
        <v>48510</v>
      </c>
      <c r="N19" s="240"/>
      <c r="O19" s="239">
        <f>SUM(O17:O18)</f>
        <v>27140</v>
      </c>
      <c r="P19" s="240"/>
      <c r="Q19" s="241"/>
      <c r="R19" s="241"/>
      <c r="S19" s="240"/>
      <c r="T19" s="241"/>
      <c r="U19" s="240"/>
      <c r="V19" s="240"/>
      <c r="W19" s="240"/>
      <c r="X19" s="240"/>
      <c r="Y19" s="240"/>
      <c r="Z19" s="326">
        <f>B19+C19+E19+F19+H19+I19+K19+M19+N19+O19+Q19+S19+T19+Y19</f>
        <v>141070</v>
      </c>
    </row>
    <row r="20" spans="1:27" ht="22.5" thickBot="1">
      <c r="A20" s="243" t="s">
        <v>212</v>
      </c>
      <c r="B20" s="239">
        <f>B19+B16</f>
        <v>278560</v>
      </c>
      <c r="C20" s="239">
        <f>C19+C16</f>
        <v>109560</v>
      </c>
      <c r="D20" s="239" t="s">
        <v>117</v>
      </c>
      <c r="E20" s="239">
        <f>E19+E16</f>
        <v>5400</v>
      </c>
      <c r="F20" s="240"/>
      <c r="G20" s="240"/>
      <c r="H20" s="240"/>
      <c r="I20" s="240"/>
      <c r="J20" s="240"/>
      <c r="K20" s="240"/>
      <c r="L20" s="240"/>
      <c r="M20" s="239">
        <f>M19+M16</f>
        <v>216000</v>
      </c>
      <c r="N20" s="240"/>
      <c r="O20" s="239">
        <f>O19+O16</f>
        <v>162840</v>
      </c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326">
        <f>Z19+Z16</f>
        <v>771360</v>
      </c>
      <c r="AA20" s="289">
        <f>Z20-(งบทดลอง1!F20+งบทดลอง1!F21)</f>
        <v>-128560</v>
      </c>
    </row>
    <row r="21" spans="1:27" ht="21.75">
      <c r="A21" s="231" t="s">
        <v>266</v>
      </c>
      <c r="B21" s="319">
        <v>115626</v>
      </c>
      <c r="C21" s="319">
        <v>49789</v>
      </c>
      <c r="D21" s="319"/>
      <c r="E21" s="319">
        <v>15694</v>
      </c>
      <c r="F21" s="301">
        <v>454125.5</v>
      </c>
      <c r="G21" s="301">
        <v>454125.5</v>
      </c>
      <c r="H21" s="301">
        <v>454125.5</v>
      </c>
      <c r="I21" s="301">
        <v>454125.5</v>
      </c>
      <c r="J21" s="301">
        <v>454125.5</v>
      </c>
      <c r="K21" s="301">
        <v>454125.5</v>
      </c>
      <c r="L21" s="301">
        <v>454125.5</v>
      </c>
      <c r="M21" s="319">
        <v>25958.5</v>
      </c>
      <c r="N21" s="301">
        <v>454125.5</v>
      </c>
      <c r="O21" s="301">
        <v>454125.5</v>
      </c>
      <c r="P21" s="301">
        <v>454125.5</v>
      </c>
      <c r="Q21" s="301">
        <v>454125.5</v>
      </c>
      <c r="R21" s="301">
        <v>454125.5</v>
      </c>
      <c r="S21" s="301">
        <v>454125.5</v>
      </c>
      <c r="T21" s="301">
        <v>454125.5</v>
      </c>
      <c r="U21" s="301">
        <v>454125.5</v>
      </c>
      <c r="V21" s="301"/>
      <c r="W21" s="301">
        <v>454125.5</v>
      </c>
      <c r="X21" s="301">
        <v>454125.5</v>
      </c>
      <c r="Y21" s="301">
        <v>454125.5</v>
      </c>
      <c r="Z21" s="328">
        <v>207067.5</v>
      </c>
      <c r="AA21" s="42"/>
    </row>
    <row r="22" spans="1:26" ht="21.75">
      <c r="A22" s="231" t="s">
        <v>214</v>
      </c>
      <c r="B22" s="233"/>
      <c r="C22" s="319"/>
      <c r="D22" s="232"/>
      <c r="E22" s="232"/>
      <c r="F22" s="232"/>
      <c r="G22" s="232"/>
      <c r="H22" s="232"/>
      <c r="I22" s="232"/>
      <c r="J22" s="232"/>
      <c r="K22" s="232"/>
      <c r="L22" s="232"/>
      <c r="M22" s="233" t="s">
        <v>117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328">
        <f>B22</f>
        <v>0</v>
      </c>
    </row>
    <row r="23" spans="1:26" ht="21.75">
      <c r="A23" s="231" t="s">
        <v>215</v>
      </c>
      <c r="B23" s="233"/>
      <c r="C23" s="233"/>
      <c r="D23" s="232"/>
      <c r="E23" s="232"/>
      <c r="F23" s="232"/>
      <c r="G23" s="232"/>
      <c r="H23" s="232"/>
      <c r="I23" s="232"/>
      <c r="J23" s="232"/>
      <c r="K23" s="232"/>
      <c r="L23" s="232"/>
      <c r="M23" s="233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328">
        <f>B23</f>
        <v>0</v>
      </c>
    </row>
    <row r="24" spans="1:26" ht="21.75">
      <c r="A24" s="231" t="s">
        <v>216</v>
      </c>
      <c r="B24" s="233"/>
      <c r="C24" s="233"/>
      <c r="D24" s="232"/>
      <c r="E24" s="232"/>
      <c r="F24" s="232"/>
      <c r="G24" s="232"/>
      <c r="H24" s="232"/>
      <c r="I24" s="232"/>
      <c r="J24" s="232"/>
      <c r="K24" s="232"/>
      <c r="L24" s="232"/>
      <c r="M24" s="233"/>
      <c r="N24" s="234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328">
        <f>B24</f>
        <v>0</v>
      </c>
    </row>
    <row r="25" spans="1:26" ht="21.75">
      <c r="A25" s="231" t="s">
        <v>217</v>
      </c>
      <c r="B25" s="235"/>
      <c r="C25" s="235"/>
      <c r="D25" s="236"/>
      <c r="E25" s="235"/>
      <c r="F25" s="236"/>
      <c r="G25" s="236"/>
      <c r="H25" s="236"/>
      <c r="I25" s="236"/>
      <c r="J25" s="236"/>
      <c r="K25" s="236"/>
      <c r="L25" s="236"/>
      <c r="M25" s="235"/>
      <c r="N25" s="237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328">
        <f>B25</f>
        <v>0</v>
      </c>
    </row>
    <row r="26" spans="1:26" ht="21.75">
      <c r="A26" s="231" t="s">
        <v>218</v>
      </c>
      <c r="B26" s="235">
        <v>8950</v>
      </c>
      <c r="C26" s="235">
        <v>8500</v>
      </c>
      <c r="D26" s="236"/>
      <c r="E26" s="235"/>
      <c r="F26" s="236"/>
      <c r="G26" s="236"/>
      <c r="H26" s="236"/>
      <c r="I26" s="236"/>
      <c r="J26" s="236"/>
      <c r="K26" s="236"/>
      <c r="L26" s="236"/>
      <c r="M26" s="235">
        <v>1950</v>
      </c>
      <c r="N26" s="237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328">
        <f>B26+C26+M26</f>
        <v>19400</v>
      </c>
    </row>
    <row r="27" spans="1:26" ht="21.75">
      <c r="A27" s="231" t="s">
        <v>219</v>
      </c>
      <c r="B27" s="235"/>
      <c r="C27" s="235"/>
      <c r="D27" s="236"/>
      <c r="E27" s="235"/>
      <c r="F27" s="236"/>
      <c r="G27" s="236"/>
      <c r="H27" s="236"/>
      <c r="I27" s="236"/>
      <c r="J27" s="236"/>
      <c r="K27" s="236"/>
      <c r="L27" s="236"/>
      <c r="M27" s="235"/>
      <c r="N27" s="237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328">
        <f>B27</f>
        <v>0</v>
      </c>
    </row>
    <row r="28" spans="1:26" ht="21.75">
      <c r="A28" s="231" t="s">
        <v>220</v>
      </c>
      <c r="B28" s="233">
        <v>3150</v>
      </c>
      <c r="C28" s="233">
        <v>555</v>
      </c>
      <c r="D28" s="232"/>
      <c r="E28" s="233"/>
      <c r="F28" s="232"/>
      <c r="G28" s="232"/>
      <c r="H28" s="232"/>
      <c r="I28" s="232"/>
      <c r="J28" s="232"/>
      <c r="K28" s="232"/>
      <c r="L28" s="232"/>
      <c r="M28" s="233">
        <v>1913</v>
      </c>
      <c r="N28" s="234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328">
        <f>C28+M28</f>
        <v>2468</v>
      </c>
    </row>
    <row r="29" spans="1:26" ht="22.5" thickBot="1">
      <c r="A29" s="231" t="s">
        <v>221</v>
      </c>
      <c r="B29" s="245"/>
      <c r="C29" s="245"/>
      <c r="D29" s="246"/>
      <c r="E29" s="245"/>
      <c r="F29" s="246"/>
      <c r="G29" s="246"/>
      <c r="H29" s="246"/>
      <c r="I29" s="246"/>
      <c r="J29" s="246"/>
      <c r="K29" s="246"/>
      <c r="L29" s="246"/>
      <c r="M29" s="245"/>
      <c r="N29" s="247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329" t="s">
        <v>117</v>
      </c>
    </row>
    <row r="30" spans="1:26" ht="22.5" thickBot="1">
      <c r="A30" s="238" t="s">
        <v>211</v>
      </c>
      <c r="B30" s="239">
        <f>SUM(B22:B29)</f>
        <v>12100</v>
      </c>
      <c r="C30" s="239">
        <f>SUM(C22:C29)</f>
        <v>9055</v>
      </c>
      <c r="D30" s="239"/>
      <c r="E30" s="239">
        <f>SUM(E22:E29)</f>
        <v>0</v>
      </c>
      <c r="F30" s="240"/>
      <c r="G30" s="240"/>
      <c r="H30" s="240"/>
      <c r="I30" s="240"/>
      <c r="J30" s="240"/>
      <c r="K30" s="240"/>
      <c r="L30" s="240"/>
      <c r="M30" s="239">
        <f>SUM(M25:M29)</f>
        <v>3863</v>
      </c>
      <c r="N30" s="241"/>
      <c r="O30" s="240"/>
      <c r="P30" s="240"/>
      <c r="Q30" s="241"/>
      <c r="R30" s="240"/>
      <c r="S30" s="240"/>
      <c r="T30" s="240"/>
      <c r="U30" s="240"/>
      <c r="V30" s="240"/>
      <c r="W30" s="240"/>
      <c r="X30" s="240"/>
      <c r="Y30" s="304"/>
      <c r="Z30" s="330">
        <f>B30+C30+E30+F30+H30+I30+K30+M30+N30+O30+Q30+S30+T30+Y30</f>
        <v>25018</v>
      </c>
    </row>
    <row r="31" spans="1:27" ht="22.5" thickBot="1">
      <c r="A31" s="243" t="s">
        <v>212</v>
      </c>
      <c r="B31" s="303">
        <f>B30+B21</f>
        <v>127726</v>
      </c>
      <c r="C31" s="239">
        <f>C30+C21</f>
        <v>58844</v>
      </c>
      <c r="D31" s="239"/>
      <c r="E31" s="239">
        <f>E30+E21</f>
        <v>15694</v>
      </c>
      <c r="F31" s="240"/>
      <c r="G31" s="240"/>
      <c r="H31" s="240"/>
      <c r="I31" s="240"/>
      <c r="J31" s="240"/>
      <c r="K31" s="240"/>
      <c r="L31" s="240"/>
      <c r="M31" s="239">
        <f>M30+M21</f>
        <v>29821.5</v>
      </c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331">
        <f>Z21+Z30</f>
        <v>232085.5</v>
      </c>
      <c r="AA31" s="42">
        <f>งบทดลอง1!F22-Z31</f>
        <v>23311</v>
      </c>
    </row>
    <row r="32" spans="1:27" ht="21.75">
      <c r="A32" s="231" t="s">
        <v>267</v>
      </c>
      <c r="B32" s="317">
        <v>1036501.35</v>
      </c>
      <c r="C32" s="317">
        <v>262974.5</v>
      </c>
      <c r="D32" s="317"/>
      <c r="E32" s="317">
        <v>489659.96</v>
      </c>
      <c r="F32" s="317">
        <v>0</v>
      </c>
      <c r="G32" s="300">
        <v>0</v>
      </c>
      <c r="H32" s="300">
        <v>0</v>
      </c>
      <c r="I32" s="300">
        <v>0</v>
      </c>
      <c r="J32" s="300">
        <v>0</v>
      </c>
      <c r="K32" s="300">
        <v>0</v>
      </c>
      <c r="L32" s="300">
        <v>0</v>
      </c>
      <c r="M32" s="317">
        <v>128740</v>
      </c>
      <c r="N32" s="317"/>
      <c r="O32" s="317">
        <v>192000</v>
      </c>
      <c r="P32" s="317"/>
      <c r="Q32" s="317">
        <v>135812</v>
      </c>
      <c r="R32" s="317"/>
      <c r="S32" s="317">
        <v>12000</v>
      </c>
      <c r="T32" s="317">
        <v>95189</v>
      </c>
      <c r="U32" s="317"/>
      <c r="V32" s="317"/>
      <c r="W32" s="317">
        <v>0</v>
      </c>
      <c r="X32" s="300">
        <v>0</v>
      </c>
      <c r="Y32" s="300">
        <v>0</v>
      </c>
      <c r="Z32" s="327">
        <v>2129498.66</v>
      </c>
      <c r="AA32" s="42"/>
    </row>
    <row r="33" spans="1:26" ht="21.75">
      <c r="A33" s="231" t="s">
        <v>222</v>
      </c>
      <c r="B33" s="233">
        <v>24058</v>
      </c>
      <c r="C33" s="233">
        <v>18155.75</v>
      </c>
      <c r="D33" s="233"/>
      <c r="E33" s="233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33"/>
      <c r="R33" s="245"/>
      <c r="S33" s="245"/>
      <c r="T33" s="245"/>
      <c r="U33" s="245"/>
      <c r="V33" s="245"/>
      <c r="W33" s="245"/>
      <c r="X33" s="245"/>
      <c r="Y33" s="245"/>
      <c r="Z33" s="324">
        <f>+B33+C33+E33+F33+H33+I33+K33+M33+N33+O33+Q33+S33+T33</f>
        <v>42213.75</v>
      </c>
    </row>
    <row r="34" spans="1:26" ht="21.75">
      <c r="A34" s="231" t="s">
        <v>223</v>
      </c>
      <c r="B34" s="245"/>
      <c r="C34" s="245"/>
      <c r="D34" s="245"/>
      <c r="E34" s="245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324">
        <f>+B34+C34+E34+F34+H34+I34+K34+M34+N34+O34+Q34+S34+T34</f>
        <v>0</v>
      </c>
    </row>
    <row r="35" spans="1:26" ht="21.75">
      <c r="A35" s="231" t="s">
        <v>224</v>
      </c>
      <c r="B35" s="233">
        <v>8370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>
        <f>13200+2360</f>
        <v>15560</v>
      </c>
      <c r="T35" s="233"/>
      <c r="U35" s="233"/>
      <c r="V35" s="233"/>
      <c r="W35" s="233"/>
      <c r="X35" s="233"/>
      <c r="Y35" s="233"/>
      <c r="Z35" s="324">
        <f>+B35+C35+E35+F35+H35+I35+K35+M35+N35+O35+Q35+S35+T35</f>
        <v>23930</v>
      </c>
    </row>
    <row r="36" spans="1:26" ht="22.5" thickBot="1">
      <c r="A36" s="231" t="s">
        <v>225</v>
      </c>
      <c r="B36" s="248">
        <f>14000+86788</f>
        <v>100788</v>
      </c>
      <c r="C36" s="248">
        <v>800</v>
      </c>
      <c r="D36" s="248"/>
      <c r="E36" s="248">
        <v>27940</v>
      </c>
      <c r="F36" s="248"/>
      <c r="G36" s="248"/>
      <c r="H36" s="248"/>
      <c r="I36" s="248"/>
      <c r="J36" s="248"/>
      <c r="K36" s="248"/>
      <c r="L36" s="248"/>
      <c r="M36" s="248"/>
      <c r="N36" s="248"/>
      <c r="O36" s="248">
        <v>60000</v>
      </c>
      <c r="P36" s="248"/>
      <c r="Q36" s="248">
        <v>212670</v>
      </c>
      <c r="R36" s="248"/>
      <c r="S36" s="248"/>
      <c r="T36" s="499"/>
      <c r="U36" s="248"/>
      <c r="V36" s="248"/>
      <c r="W36" s="248"/>
      <c r="X36" s="248"/>
      <c r="Y36" s="248"/>
      <c r="Z36" s="324">
        <f>+B36+C36+E36+F36+H36+I36+K36+M36+N36+O36+Q36+S36+T36</f>
        <v>402198</v>
      </c>
    </row>
    <row r="37" spans="1:27" ht="22.5" thickBot="1">
      <c r="A37" s="238" t="s">
        <v>211</v>
      </c>
      <c r="B37" s="242">
        <f>B33+B35+B36</f>
        <v>133216</v>
      </c>
      <c r="C37" s="242">
        <f>C33+C35+C36</f>
        <v>18955.75</v>
      </c>
      <c r="D37" s="242"/>
      <c r="E37" s="242">
        <f>E33+E35+E36</f>
        <v>27940</v>
      </c>
      <c r="F37" s="501">
        <f>F33+F34+F35+F36</f>
        <v>0</v>
      </c>
      <c r="G37" s="501"/>
      <c r="H37" s="501"/>
      <c r="I37" s="501"/>
      <c r="J37" s="501"/>
      <c r="K37" s="501"/>
      <c r="L37" s="501"/>
      <c r="M37" s="501">
        <f>M33+M34+M35+M36</f>
        <v>0</v>
      </c>
      <c r="N37" s="466">
        <f>N33+N34+N35+N36</f>
        <v>0</v>
      </c>
      <c r="O37" s="239">
        <f>O33+O34+O35+O36</f>
        <v>60000</v>
      </c>
      <c r="P37" s="239"/>
      <c r="Q37" s="239">
        <f>Q33+Q34+Q35+Q36</f>
        <v>212670</v>
      </c>
      <c r="R37" s="239"/>
      <c r="S37" s="239">
        <f>S33+S34+S35+S36</f>
        <v>15560</v>
      </c>
      <c r="T37" s="500">
        <f>T36+T35+T34+T33</f>
        <v>0</v>
      </c>
      <c r="U37" s="466"/>
      <c r="V37" s="466"/>
      <c r="W37" s="466">
        <f>W36+W35+W34+W33</f>
        <v>0</v>
      </c>
      <c r="X37" s="239"/>
      <c r="Y37" s="239"/>
      <c r="Z37" s="324">
        <f>SUM(Z33:Z36)</f>
        <v>468341.75</v>
      </c>
      <c r="AA37" s="42"/>
    </row>
    <row r="38" spans="1:28" ht="22.5" thickBot="1">
      <c r="A38" s="249" t="s">
        <v>212</v>
      </c>
      <c r="B38" s="239">
        <f>B37+B32</f>
        <v>1169717.35</v>
      </c>
      <c r="C38" s="239">
        <f>C37+C32</f>
        <v>281930.25</v>
      </c>
      <c r="D38" s="239"/>
      <c r="E38" s="239">
        <f>E37+E32</f>
        <v>517599.96</v>
      </c>
      <c r="F38" s="500">
        <f>F37+F32</f>
        <v>0</v>
      </c>
      <c r="G38" s="500"/>
      <c r="H38" s="500"/>
      <c r="I38" s="500"/>
      <c r="J38" s="500"/>
      <c r="K38" s="500"/>
      <c r="L38" s="500"/>
      <c r="M38" s="500">
        <f>M37+M32</f>
        <v>128740</v>
      </c>
      <c r="N38" s="466">
        <f>N37+N32</f>
        <v>0</v>
      </c>
      <c r="O38" s="239">
        <f>O37+O32</f>
        <v>252000</v>
      </c>
      <c r="P38" s="239"/>
      <c r="Q38" s="239">
        <f>Q37+Q32</f>
        <v>348482</v>
      </c>
      <c r="R38" s="239"/>
      <c r="S38" s="239">
        <f>S37+S32</f>
        <v>27560</v>
      </c>
      <c r="T38" s="500">
        <f>T37+T32</f>
        <v>95189</v>
      </c>
      <c r="U38" s="466"/>
      <c r="V38" s="466"/>
      <c r="W38" s="466">
        <f>W37+W32</f>
        <v>0</v>
      </c>
      <c r="X38" s="239"/>
      <c r="Y38" s="239"/>
      <c r="Z38" s="331">
        <f>Z37+Z32</f>
        <v>2597840.41</v>
      </c>
      <c r="AA38" s="42">
        <f>Z38-(งบทดลอง1!F23+งบทดลอง1!F24)</f>
        <v>-376254.27</v>
      </c>
      <c r="AB38" s="42"/>
    </row>
    <row r="39" spans="1:27" ht="21.75">
      <c r="A39" s="268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332"/>
      <c r="AA39" s="42"/>
    </row>
    <row r="40" spans="1:27" ht="21.75">
      <c r="A40" s="268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332"/>
      <c r="AA40" s="42"/>
    </row>
    <row r="41" spans="1:27" ht="21.75">
      <c r="A41" s="268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332"/>
      <c r="AA41" s="42"/>
    </row>
    <row r="42" spans="1:26" ht="21.75">
      <c r="A42" s="663" t="s">
        <v>226</v>
      </c>
      <c r="B42" s="663"/>
      <c r="C42" s="663"/>
      <c r="D42" s="663"/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3"/>
      <c r="X42" s="663"/>
      <c r="Y42" s="663"/>
      <c r="Z42" s="663"/>
    </row>
    <row r="43" spans="1:26" ht="21.75">
      <c r="A43" s="218" t="s">
        <v>183</v>
      </c>
      <c r="B43" s="664" t="s">
        <v>184</v>
      </c>
      <c r="C43" s="659"/>
      <c r="D43" s="656"/>
      <c r="E43" s="654" t="s">
        <v>185</v>
      </c>
      <c r="F43" s="655"/>
      <c r="G43" s="656"/>
      <c r="H43" s="654" t="s">
        <v>186</v>
      </c>
      <c r="I43" s="655"/>
      <c r="J43" s="220"/>
      <c r="K43" s="221" t="s">
        <v>187</v>
      </c>
      <c r="L43" s="222"/>
      <c r="M43" s="654" t="s">
        <v>188</v>
      </c>
      <c r="N43" s="660"/>
      <c r="O43" s="655"/>
      <c r="P43" s="656"/>
      <c r="Q43" s="219" t="s">
        <v>189</v>
      </c>
      <c r="R43" s="223"/>
      <c r="S43" s="664" t="s">
        <v>190</v>
      </c>
      <c r="T43" s="659"/>
      <c r="U43" s="656"/>
      <c r="V43" s="654" t="s">
        <v>275</v>
      </c>
      <c r="W43" s="655"/>
      <c r="X43" s="219"/>
      <c r="Y43" s="224" t="s">
        <v>191</v>
      </c>
      <c r="Z43" s="661" t="s">
        <v>84</v>
      </c>
    </row>
    <row r="44" spans="1:26" ht="21.75">
      <c r="A44" s="225" t="s">
        <v>192</v>
      </c>
      <c r="B44" s="226" t="s">
        <v>193</v>
      </c>
      <c r="C44" s="226" t="s">
        <v>194</v>
      </c>
      <c r="D44" s="657"/>
      <c r="E44" s="219" t="s">
        <v>195</v>
      </c>
      <c r="F44" s="219" t="s">
        <v>196</v>
      </c>
      <c r="G44" s="657"/>
      <c r="H44" s="219" t="s">
        <v>197</v>
      </c>
      <c r="I44" s="219" t="s">
        <v>198</v>
      </c>
      <c r="J44" s="228"/>
      <c r="K44" s="221" t="s">
        <v>199</v>
      </c>
      <c r="L44" s="226"/>
      <c r="M44" s="229" t="s">
        <v>200</v>
      </c>
      <c r="N44" s="229" t="s">
        <v>201</v>
      </c>
      <c r="O44" s="229" t="s">
        <v>202</v>
      </c>
      <c r="P44" s="657"/>
      <c r="Q44" s="229" t="s">
        <v>203</v>
      </c>
      <c r="R44" s="226"/>
      <c r="S44" s="229" t="s">
        <v>204</v>
      </c>
      <c r="T44" s="229" t="s">
        <v>205</v>
      </c>
      <c r="U44" s="657"/>
      <c r="V44" s="224" t="s">
        <v>374</v>
      </c>
      <c r="W44" s="227" t="s">
        <v>276</v>
      </c>
      <c r="X44" s="227"/>
      <c r="Y44" s="230" t="s">
        <v>206</v>
      </c>
      <c r="Z44" s="662"/>
    </row>
    <row r="45" spans="1:26" ht="21.75">
      <c r="A45" s="231" t="s">
        <v>268</v>
      </c>
      <c r="B45" s="319">
        <v>156586.73</v>
      </c>
      <c r="C45" s="319">
        <v>8500</v>
      </c>
      <c r="D45" s="233"/>
      <c r="E45" s="319">
        <v>6275</v>
      </c>
      <c r="F45" s="319">
        <v>262026.38</v>
      </c>
      <c r="G45" s="233"/>
      <c r="H45" s="319">
        <v>5784.7</v>
      </c>
      <c r="I45" s="319">
        <v>0</v>
      </c>
      <c r="J45" s="233"/>
      <c r="K45" s="319">
        <v>0</v>
      </c>
      <c r="L45" s="244"/>
      <c r="M45" s="319">
        <v>42392.8</v>
      </c>
      <c r="N45" s="319">
        <v>0</v>
      </c>
      <c r="O45" s="319">
        <v>15932.8</v>
      </c>
      <c r="P45" s="233"/>
      <c r="Q45" s="319">
        <v>0</v>
      </c>
      <c r="R45" s="233"/>
      <c r="S45" s="319">
        <v>8038</v>
      </c>
      <c r="T45" s="319">
        <v>0</v>
      </c>
      <c r="U45" s="233"/>
      <c r="V45" s="319">
        <v>0</v>
      </c>
      <c r="W45" s="319">
        <v>0</v>
      </c>
      <c r="X45" s="233"/>
      <c r="Y45" s="319">
        <v>0</v>
      </c>
      <c r="Z45" s="324">
        <v>505859.41</v>
      </c>
    </row>
    <row r="46" spans="1:26" ht="21.75">
      <c r="A46" s="231" t="s">
        <v>227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44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324" t="s">
        <v>117</v>
      </c>
    </row>
    <row r="47" spans="1:26" ht="21.75">
      <c r="A47" s="231" t="s">
        <v>228</v>
      </c>
      <c r="B47" s="414">
        <v>11910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>
        <v>1635</v>
      </c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324">
        <f aca="true" t="shared" si="0" ref="Z47:Z60">B47+C47+E47+H47+I47+K47+M47+N47+O47+Q47+V47+S47+T47+W47+Y47</f>
        <v>13545</v>
      </c>
    </row>
    <row r="48" spans="1:26" ht="21.75">
      <c r="A48" s="231" t="s">
        <v>229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6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324">
        <f t="shared" si="0"/>
        <v>0</v>
      </c>
    </row>
    <row r="49" spans="1:26" ht="21.75">
      <c r="A49" s="231" t="s">
        <v>230</v>
      </c>
      <c r="B49" s="417"/>
      <c r="C49" s="417"/>
      <c r="D49" s="417"/>
      <c r="E49" s="414"/>
      <c r="F49" s="417"/>
      <c r="G49" s="417"/>
      <c r="H49" s="417"/>
      <c r="I49" s="417"/>
      <c r="J49" s="417"/>
      <c r="K49" s="417"/>
      <c r="L49" s="417"/>
      <c r="M49" s="417"/>
      <c r="N49" s="418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324">
        <f t="shared" si="0"/>
        <v>0</v>
      </c>
    </row>
    <row r="50" spans="1:26" ht="21.75">
      <c r="A50" s="231" t="s">
        <v>231</v>
      </c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>
        <v>1120</v>
      </c>
      <c r="N50" s="416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324">
        <f t="shared" si="0"/>
        <v>1120</v>
      </c>
    </row>
    <row r="51" spans="1:26" ht="21.75">
      <c r="A51" s="231" t="s">
        <v>281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6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324">
        <f t="shared" si="0"/>
        <v>0</v>
      </c>
    </row>
    <row r="52" spans="1:26" ht="21.75">
      <c r="A52" s="231" t="s">
        <v>232</v>
      </c>
      <c r="B52" s="414">
        <v>15364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6"/>
      <c r="O52" s="414">
        <v>7966.4</v>
      </c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324">
        <f t="shared" si="0"/>
        <v>23330.4</v>
      </c>
    </row>
    <row r="53" spans="1:26" ht="21.75">
      <c r="A53" s="231" t="s">
        <v>233</v>
      </c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6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324">
        <f t="shared" si="0"/>
        <v>0</v>
      </c>
    </row>
    <row r="54" spans="1:26" ht="21.75">
      <c r="A54" s="231" t="s">
        <v>234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6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324">
        <f t="shared" si="0"/>
        <v>0</v>
      </c>
    </row>
    <row r="55" spans="1:26" ht="21.75">
      <c r="A55" s="231" t="s">
        <v>235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6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324">
        <f t="shared" si="0"/>
        <v>0</v>
      </c>
    </row>
    <row r="56" spans="1:26" ht="21.75">
      <c r="A56" s="231" t="s">
        <v>236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6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324">
        <f t="shared" si="0"/>
        <v>0</v>
      </c>
    </row>
    <row r="57" spans="1:26" ht="21.75">
      <c r="A57" s="231" t="s">
        <v>237</v>
      </c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6"/>
      <c r="O57" s="414"/>
      <c r="P57" s="414"/>
      <c r="Q57" s="414"/>
      <c r="R57" s="414"/>
      <c r="S57" s="414">
        <v>14300</v>
      </c>
      <c r="T57" s="414"/>
      <c r="U57" s="414"/>
      <c r="V57" s="414"/>
      <c r="W57" s="414"/>
      <c r="X57" s="414"/>
      <c r="Y57" s="414"/>
      <c r="Z57" s="324">
        <f t="shared" si="0"/>
        <v>14300</v>
      </c>
    </row>
    <row r="58" spans="1:26" ht="21.75">
      <c r="A58" s="231" t="s">
        <v>238</v>
      </c>
      <c r="B58" s="414">
        <v>20950</v>
      </c>
      <c r="C58" s="414">
        <v>21660</v>
      </c>
      <c r="D58" s="414"/>
      <c r="E58" s="414">
        <v>600</v>
      </c>
      <c r="F58" s="414"/>
      <c r="G58" s="414"/>
      <c r="H58" s="414"/>
      <c r="I58" s="414"/>
      <c r="J58" s="414"/>
      <c r="K58" s="414"/>
      <c r="L58" s="414"/>
      <c r="M58" s="414">
        <v>18990</v>
      </c>
      <c r="N58" s="416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324">
        <f>B58+C58+E58+H58+I58+K58+M58+N58+O58+Q58+V58+S58+T58+W58+Y58</f>
        <v>62200</v>
      </c>
    </row>
    <row r="59" spans="1:26" ht="21.75">
      <c r="A59" s="279" t="s">
        <v>284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6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324">
        <f t="shared" si="0"/>
        <v>0</v>
      </c>
    </row>
    <row r="60" spans="1:26" ht="21.75">
      <c r="A60" s="231" t="s">
        <v>285</v>
      </c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6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324">
        <f t="shared" si="0"/>
        <v>0</v>
      </c>
    </row>
    <row r="61" spans="1:26" ht="21.75">
      <c r="A61" s="254" t="s">
        <v>524</v>
      </c>
      <c r="B61" s="414"/>
      <c r="C61" s="414"/>
      <c r="D61" s="414"/>
      <c r="E61" s="414"/>
      <c r="F61" s="414">
        <v>52348.66</v>
      </c>
      <c r="G61" s="414"/>
      <c r="H61" s="414"/>
      <c r="I61" s="414"/>
      <c r="J61" s="414"/>
      <c r="K61" s="414"/>
      <c r="L61" s="414"/>
      <c r="M61" s="414"/>
      <c r="N61" s="416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324">
        <f>B61+C61+E61+F61+H61+I61+K61+M61+N61+O61+Q61+V61+S61+T61+W61+Y61</f>
        <v>52348.66</v>
      </c>
    </row>
    <row r="62" spans="1:27" ht="22.5" thickBot="1">
      <c r="A62" s="238" t="s">
        <v>211</v>
      </c>
      <c r="B62" s="502">
        <f>SUM(B46:B61)</f>
        <v>48224</v>
      </c>
      <c r="C62" s="502">
        <f>SUM(C46:C61)</f>
        <v>21660</v>
      </c>
      <c r="D62" s="502"/>
      <c r="E62" s="502">
        <f>SUM(E46:E61)</f>
        <v>600</v>
      </c>
      <c r="F62" s="502">
        <f>SUM(F46:F61)</f>
        <v>52348.66</v>
      </c>
      <c r="G62" s="502"/>
      <c r="H62" s="502">
        <f>SUM(H46:H61)</f>
        <v>0</v>
      </c>
      <c r="I62" s="502"/>
      <c r="J62" s="502"/>
      <c r="K62" s="502"/>
      <c r="L62" s="502"/>
      <c r="M62" s="502">
        <f>SUM(M46:M61)</f>
        <v>21745</v>
      </c>
      <c r="N62" s="502"/>
      <c r="O62" s="502">
        <f>SUM(O46:O61)</f>
        <v>7966.4</v>
      </c>
      <c r="P62" s="502"/>
      <c r="Q62" s="502"/>
      <c r="R62" s="502"/>
      <c r="S62" s="502">
        <f>SUM(S46:S61)</f>
        <v>14300</v>
      </c>
      <c r="T62" s="502"/>
      <c r="U62" s="502"/>
      <c r="V62" s="502"/>
      <c r="W62" s="502"/>
      <c r="X62" s="502"/>
      <c r="Y62" s="502"/>
      <c r="Z62" s="415">
        <f>B62+C62+E62+F62+H62+I62+K62+M62+N62+O62+Q62+S62+T62+V62+W62+Y62</f>
        <v>166844.06</v>
      </c>
      <c r="AA62" s="42"/>
    </row>
    <row r="63" spans="1:27" ht="22.5" thickBot="1">
      <c r="A63" s="243" t="s">
        <v>212</v>
      </c>
      <c r="B63" s="503">
        <f>B45+B62</f>
        <v>204810.73</v>
      </c>
      <c r="C63" s="503">
        <f>C45+C62</f>
        <v>30160</v>
      </c>
      <c r="D63" s="503"/>
      <c r="E63" s="503">
        <f>E45+E62</f>
        <v>6875</v>
      </c>
      <c r="F63" s="503">
        <f>F45+F62</f>
        <v>314375.04000000004</v>
      </c>
      <c r="G63" s="503"/>
      <c r="H63" s="503">
        <f>H45+H62</f>
        <v>5784.7</v>
      </c>
      <c r="I63" s="503"/>
      <c r="J63" s="503"/>
      <c r="K63" s="503"/>
      <c r="L63" s="503"/>
      <c r="M63" s="503">
        <f>M45+M62</f>
        <v>64137.8</v>
      </c>
      <c r="N63" s="503"/>
      <c r="O63" s="503">
        <f>O45+O62</f>
        <v>23899.199999999997</v>
      </c>
      <c r="P63" s="503"/>
      <c r="Q63" s="503"/>
      <c r="R63" s="503"/>
      <c r="S63" s="503">
        <f>S45+S62</f>
        <v>22338</v>
      </c>
      <c r="T63" s="419" t="s">
        <v>117</v>
      </c>
      <c r="U63" s="419"/>
      <c r="V63" s="419"/>
      <c r="W63" s="419"/>
      <c r="X63" s="419"/>
      <c r="Y63" s="419"/>
      <c r="Z63" s="420">
        <f>Z62+Z45</f>
        <v>672703.47</v>
      </c>
      <c r="AA63" s="42">
        <f>Z63-(งบทดลอง1!F25+งบทดลอง1!F26)</f>
        <v>-199383.6000000001</v>
      </c>
    </row>
    <row r="64" spans="1:26" ht="21.75">
      <c r="A64" s="231" t="s">
        <v>269</v>
      </c>
      <c r="B64" s="244">
        <v>186570.02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333">
        <v>186570.02</v>
      </c>
    </row>
    <row r="65" spans="1:26" ht="21.75">
      <c r="A65" s="254" t="s">
        <v>239</v>
      </c>
      <c r="B65" s="233">
        <v>35141.65</v>
      </c>
      <c r="C65" s="245" t="s">
        <v>117</v>
      </c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35"/>
      <c r="R65" s="245"/>
      <c r="S65" s="245"/>
      <c r="T65" s="245"/>
      <c r="U65" s="245"/>
      <c r="V65" s="245"/>
      <c r="W65" s="245"/>
      <c r="X65" s="245"/>
      <c r="Y65" s="245"/>
      <c r="Z65" s="325">
        <f>B65+AA65</f>
        <v>35141.65</v>
      </c>
    </row>
    <row r="66" spans="1:26" ht="21.75">
      <c r="A66" s="231" t="s">
        <v>240</v>
      </c>
      <c r="B66" s="233">
        <v>3305.44</v>
      </c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325">
        <f>B66+C66+E66+F66+H66+I66+K66+M66+N66+O66+Q66+V66+W66+S66+T66+Y66</f>
        <v>3305.44</v>
      </c>
    </row>
    <row r="67" spans="1:26" ht="21.75">
      <c r="A67" s="231" t="s">
        <v>241</v>
      </c>
      <c r="B67" s="233">
        <v>4062.79</v>
      </c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325">
        <f>B67+C67+E67+F67+H67+I67+K67+M67+N67+O67+Q67+V67+W67+S67+T67+Y67</f>
        <v>4062.79</v>
      </c>
    </row>
    <row r="68" spans="1:26" ht="21.75">
      <c r="A68" s="231" t="s">
        <v>242</v>
      </c>
      <c r="B68" s="233">
        <v>291</v>
      </c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324">
        <f>B68+C68+E68+F68+H68+I68+K68+M68+N68+O68+Q68+V68+W68+S68+T68+Y68</f>
        <v>291</v>
      </c>
    </row>
    <row r="69" spans="1:26" ht="22.5" thickBot="1">
      <c r="A69" s="231" t="s">
        <v>566</v>
      </c>
      <c r="B69" s="233">
        <v>4357.04</v>
      </c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337">
        <f>B69+C69+E69+F69+H69+I69+K69+M69+N69+O69+Q69+V69+W69+S69+T69+Y69</f>
        <v>4357.04</v>
      </c>
    </row>
    <row r="70" spans="1:26" ht="22.5" thickBot="1">
      <c r="A70" s="238" t="s">
        <v>211</v>
      </c>
      <c r="B70" s="242">
        <f>SUM(B65:B69)</f>
        <v>47157.920000000006</v>
      </c>
      <c r="C70" s="242"/>
      <c r="D70" s="239"/>
      <c r="E70" s="239"/>
      <c r="F70" s="239"/>
      <c r="G70" s="239"/>
      <c r="H70" s="239"/>
      <c r="I70" s="242"/>
      <c r="J70" s="242"/>
      <c r="K70" s="239"/>
      <c r="L70" s="239"/>
      <c r="M70" s="239"/>
      <c r="N70" s="239"/>
      <c r="O70" s="239"/>
      <c r="P70" s="239"/>
      <c r="Q70" s="242"/>
      <c r="R70" s="242"/>
      <c r="S70" s="239"/>
      <c r="T70" s="239"/>
      <c r="U70" s="239"/>
      <c r="V70" s="239"/>
      <c r="W70" s="239"/>
      <c r="X70" s="239"/>
      <c r="Y70" s="239"/>
      <c r="Z70" s="325">
        <f>B70+C70+E70+F70+H70+I70+K70+M70+N70+O70+Q70+V70+W70+S70+T70+Y70</f>
        <v>47157.920000000006</v>
      </c>
    </row>
    <row r="71" spans="1:27" ht="22.5" thickBot="1">
      <c r="A71" s="243" t="s">
        <v>212</v>
      </c>
      <c r="B71" s="239">
        <f>B64+B70</f>
        <v>233727.94</v>
      </c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331">
        <f>Z64+Z70</f>
        <v>233727.94</v>
      </c>
      <c r="AA71" s="42">
        <f>Z71-(งบทดลอง1!F27+งบทดลอง1!F28)</f>
        <v>-37990.19</v>
      </c>
    </row>
    <row r="72" spans="1:26" ht="21.75">
      <c r="A72" s="231" t="s">
        <v>272</v>
      </c>
      <c r="B72" s="244">
        <v>0</v>
      </c>
      <c r="C72" s="244"/>
      <c r="D72" s="244"/>
      <c r="E72" s="244">
        <v>634400</v>
      </c>
      <c r="F72" s="468">
        <v>0</v>
      </c>
      <c r="G72" s="244"/>
      <c r="H72" s="244"/>
      <c r="I72" s="468">
        <v>0</v>
      </c>
      <c r="J72" s="244"/>
      <c r="K72" s="244" t="s">
        <v>117</v>
      </c>
      <c r="L72" s="244"/>
      <c r="M72" s="244"/>
      <c r="N72" s="468">
        <v>0</v>
      </c>
      <c r="O72" s="468">
        <v>0</v>
      </c>
      <c r="P72" s="244"/>
      <c r="Q72" s="470">
        <v>0</v>
      </c>
      <c r="R72" s="244"/>
      <c r="S72" s="468">
        <v>0</v>
      </c>
      <c r="T72" s="468">
        <v>0</v>
      </c>
      <c r="U72" s="244"/>
      <c r="V72" s="244"/>
      <c r="W72" s="244" t="s">
        <v>117</v>
      </c>
      <c r="X72" s="244"/>
      <c r="Y72" s="244"/>
      <c r="Z72" s="333">
        <v>634400</v>
      </c>
    </row>
    <row r="73" spans="1:26" ht="21.75">
      <c r="A73" s="231" t="s">
        <v>243</v>
      </c>
      <c r="B73" s="244">
        <v>35000</v>
      </c>
      <c r="C73" s="244"/>
      <c r="D73" s="244"/>
      <c r="E73" s="244"/>
      <c r="F73" s="468"/>
      <c r="G73" s="244"/>
      <c r="H73" s="244"/>
      <c r="I73" s="468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333">
        <f>+B73+C73+E73</f>
        <v>35000</v>
      </c>
    </row>
    <row r="74" spans="1:26" ht="21.75">
      <c r="A74" s="231" t="s">
        <v>244</v>
      </c>
      <c r="B74" s="233"/>
      <c r="C74" s="233"/>
      <c r="D74" s="233"/>
      <c r="E74" s="233"/>
      <c r="F74" s="469"/>
      <c r="G74" s="233"/>
      <c r="H74" s="233"/>
      <c r="I74" s="469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469"/>
      <c r="U74" s="233"/>
      <c r="V74" s="233"/>
      <c r="W74" s="233"/>
      <c r="X74" s="233"/>
      <c r="Y74" s="233"/>
      <c r="Z74" s="333">
        <f>+E74</f>
        <v>0</v>
      </c>
    </row>
    <row r="75" spans="1:26" ht="22.5" thickBot="1">
      <c r="A75" s="231" t="s">
        <v>245</v>
      </c>
      <c r="B75" s="233"/>
      <c r="C75" s="233"/>
      <c r="D75" s="233"/>
      <c r="E75" s="233"/>
      <c r="F75" s="469"/>
      <c r="G75" s="233"/>
      <c r="H75" s="233"/>
      <c r="I75" s="469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333"/>
    </row>
    <row r="76" spans="1:26" ht="22.5" thickBot="1">
      <c r="A76" s="238" t="s">
        <v>211</v>
      </c>
      <c r="B76" s="242">
        <f>+B73+B74</f>
        <v>35000</v>
      </c>
      <c r="C76" s="242"/>
      <c r="D76" s="239"/>
      <c r="E76" s="242">
        <f>+E74</f>
        <v>0</v>
      </c>
      <c r="F76" s="466">
        <f>F74</f>
        <v>0</v>
      </c>
      <c r="G76" s="239"/>
      <c r="H76" s="239"/>
      <c r="I76" s="466">
        <f>I74</f>
        <v>0</v>
      </c>
      <c r="J76" s="239"/>
      <c r="K76" s="466">
        <f>K74</f>
        <v>0</v>
      </c>
      <c r="L76" s="239"/>
      <c r="M76" s="239"/>
      <c r="N76" s="466">
        <f>N74</f>
        <v>0</v>
      </c>
      <c r="O76" s="239">
        <f>O74</f>
        <v>0</v>
      </c>
      <c r="P76" s="239"/>
      <c r="Q76" s="465">
        <f>Q74</f>
        <v>0</v>
      </c>
      <c r="R76" s="242"/>
      <c r="S76" s="465">
        <f>S74+S73</f>
        <v>0</v>
      </c>
      <c r="T76" s="465">
        <f>T74+T73</f>
        <v>0</v>
      </c>
      <c r="U76" s="239"/>
      <c r="V76" s="239"/>
      <c r="W76" s="239" t="s">
        <v>117</v>
      </c>
      <c r="X76" s="239"/>
      <c r="Y76" s="239"/>
      <c r="Z76" s="331">
        <f>Z74</f>
        <v>0</v>
      </c>
    </row>
    <row r="77" spans="1:27" ht="22.5" thickBot="1">
      <c r="A77" s="243" t="s">
        <v>212</v>
      </c>
      <c r="B77" s="239">
        <f>+B76+B72</f>
        <v>35000</v>
      </c>
      <c r="C77" s="239"/>
      <c r="D77" s="239"/>
      <c r="E77" s="239">
        <v>634400</v>
      </c>
      <c r="F77" s="466">
        <f>F72+F76</f>
        <v>0</v>
      </c>
      <c r="G77" s="239"/>
      <c r="H77" s="239"/>
      <c r="I77" s="467">
        <f>I76+I72</f>
        <v>0</v>
      </c>
      <c r="J77" s="239"/>
      <c r="K77" s="466">
        <f>K76</f>
        <v>0</v>
      </c>
      <c r="L77" s="239"/>
      <c r="M77" s="239"/>
      <c r="N77" s="466">
        <f>N76+N72</f>
        <v>0</v>
      </c>
      <c r="O77" s="239">
        <f>O76+O72</f>
        <v>0</v>
      </c>
      <c r="P77" s="239"/>
      <c r="Q77" s="466">
        <f>Q72+Q76</f>
        <v>0</v>
      </c>
      <c r="R77" s="239"/>
      <c r="S77" s="466">
        <f>S76+S72</f>
        <v>0</v>
      </c>
      <c r="T77" s="466">
        <f>T76+T72</f>
        <v>0</v>
      </c>
      <c r="U77" s="239"/>
      <c r="V77" s="239"/>
      <c r="W77" s="239" t="s">
        <v>117</v>
      </c>
      <c r="X77" s="239"/>
      <c r="Y77" s="239"/>
      <c r="Z77" s="331">
        <f>Z76+Z72+Z73</f>
        <v>669400</v>
      </c>
      <c r="AA77" s="42">
        <f>Z77-งบทดลอง1!F29</f>
        <v>-65000</v>
      </c>
    </row>
    <row r="78" spans="1:26" ht="21.75">
      <c r="A78" s="256"/>
      <c r="B78" s="257"/>
      <c r="C78" s="309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334"/>
    </row>
    <row r="79" spans="1:26" ht="31.5" customHeight="1">
      <c r="A79" s="258"/>
      <c r="B79" s="259"/>
      <c r="C79" s="310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335"/>
    </row>
    <row r="80" spans="1:26" ht="31.5" customHeight="1">
      <c r="A80" s="258"/>
      <c r="B80" s="259"/>
      <c r="C80" s="310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335"/>
    </row>
    <row r="81" spans="1:26" ht="21.75">
      <c r="A81" s="663" t="s">
        <v>246</v>
      </c>
      <c r="B81" s="663"/>
      <c r="C81" s="663"/>
      <c r="D81" s="663"/>
      <c r="E81" s="663"/>
      <c r="F81" s="663"/>
      <c r="G81" s="663"/>
      <c r="H81" s="663"/>
      <c r="I81" s="663"/>
      <c r="J81" s="663"/>
      <c r="K81" s="663"/>
      <c r="L81" s="663"/>
      <c r="M81" s="663"/>
      <c r="N81" s="663"/>
      <c r="O81" s="663"/>
      <c r="P81" s="663"/>
      <c r="Q81" s="663"/>
      <c r="R81" s="663"/>
      <c r="S81" s="663"/>
      <c r="T81" s="663"/>
      <c r="U81" s="663"/>
      <c r="V81" s="663"/>
      <c r="W81" s="663"/>
      <c r="X81" s="663"/>
      <c r="Y81" s="663"/>
      <c r="Z81" s="663"/>
    </row>
    <row r="82" spans="1:26" ht="21.75">
      <c r="A82" s="218" t="s">
        <v>183</v>
      </c>
      <c r="B82" s="664" t="s">
        <v>184</v>
      </c>
      <c r="C82" s="659"/>
      <c r="D82" s="656"/>
      <c r="E82" s="654" t="s">
        <v>185</v>
      </c>
      <c r="F82" s="655"/>
      <c r="G82" s="656"/>
      <c r="H82" s="654" t="s">
        <v>186</v>
      </c>
      <c r="I82" s="655"/>
      <c r="J82" s="219"/>
      <c r="K82" s="221" t="s">
        <v>187</v>
      </c>
      <c r="L82" s="222"/>
      <c r="M82" s="654" t="s">
        <v>188</v>
      </c>
      <c r="N82" s="660"/>
      <c r="O82" s="655"/>
      <c r="P82" s="656"/>
      <c r="Q82" s="219" t="s">
        <v>189</v>
      </c>
      <c r="R82" s="223"/>
      <c r="S82" s="658" t="s">
        <v>190</v>
      </c>
      <c r="T82" s="659"/>
      <c r="U82" s="656"/>
      <c r="V82" s="654" t="s">
        <v>275</v>
      </c>
      <c r="W82" s="655"/>
      <c r="X82" s="219"/>
      <c r="Y82" s="224" t="s">
        <v>191</v>
      </c>
      <c r="Z82" s="665" t="s">
        <v>84</v>
      </c>
    </row>
    <row r="83" spans="1:26" ht="21.75">
      <c r="A83" s="225" t="s">
        <v>192</v>
      </c>
      <c r="B83" s="226" t="s">
        <v>193</v>
      </c>
      <c r="C83" s="226" t="s">
        <v>194</v>
      </c>
      <c r="D83" s="657"/>
      <c r="E83" s="219" t="s">
        <v>195</v>
      </c>
      <c r="F83" s="219" t="s">
        <v>196</v>
      </c>
      <c r="G83" s="657"/>
      <c r="H83" s="219" t="s">
        <v>197</v>
      </c>
      <c r="I83" s="219" t="s">
        <v>198</v>
      </c>
      <c r="J83" s="227"/>
      <c r="K83" s="221" t="s">
        <v>199</v>
      </c>
      <c r="L83" s="226"/>
      <c r="M83" s="229" t="s">
        <v>200</v>
      </c>
      <c r="N83" s="229" t="s">
        <v>201</v>
      </c>
      <c r="O83" s="229" t="s">
        <v>202</v>
      </c>
      <c r="P83" s="657"/>
      <c r="Q83" s="229" t="s">
        <v>203</v>
      </c>
      <c r="R83" s="226"/>
      <c r="S83" s="229" t="s">
        <v>204</v>
      </c>
      <c r="T83" s="229" t="s">
        <v>205</v>
      </c>
      <c r="U83" s="657"/>
      <c r="V83" s="224" t="s">
        <v>374</v>
      </c>
      <c r="W83" s="227" t="s">
        <v>276</v>
      </c>
      <c r="X83" s="227"/>
      <c r="Y83" s="230" t="s">
        <v>206</v>
      </c>
      <c r="Z83" s="666"/>
    </row>
    <row r="84" spans="1:26" ht="21.75">
      <c r="A84" s="231" t="s">
        <v>247</v>
      </c>
      <c r="B84" s="244"/>
      <c r="C84" s="244" t="s">
        <v>117</v>
      </c>
      <c r="D84" s="260"/>
      <c r="E84" s="251" t="s">
        <v>117</v>
      </c>
      <c r="F84" s="251"/>
      <c r="G84" s="261"/>
      <c r="H84" s="251" t="s">
        <v>117</v>
      </c>
      <c r="I84" s="251"/>
      <c r="J84" s="250"/>
      <c r="K84" s="233"/>
      <c r="L84" s="244"/>
      <c r="M84" s="341"/>
      <c r="N84" s="262"/>
      <c r="O84" s="262"/>
      <c r="P84" s="261"/>
      <c r="Q84" s="262"/>
      <c r="R84" s="244"/>
      <c r="S84" s="262"/>
      <c r="T84" s="262"/>
      <c r="U84" s="260"/>
      <c r="V84" s="260"/>
      <c r="W84" s="260"/>
      <c r="X84" s="260"/>
      <c r="Y84" s="260"/>
      <c r="Z84" s="343"/>
    </row>
    <row r="85" spans="1:26" ht="21.75">
      <c r="A85" s="231" t="s">
        <v>248</v>
      </c>
      <c r="B85" s="244">
        <v>37300</v>
      </c>
      <c r="C85" s="244" t="s">
        <v>307</v>
      </c>
      <c r="D85" s="260"/>
      <c r="E85" s="251"/>
      <c r="F85" s="251"/>
      <c r="G85" s="261"/>
      <c r="H85" s="251"/>
      <c r="I85" s="251"/>
      <c r="J85" s="261"/>
      <c r="K85" s="233"/>
      <c r="L85" s="244"/>
      <c r="M85" s="262" t="s">
        <v>117</v>
      </c>
      <c r="N85" s="262"/>
      <c r="O85" s="262"/>
      <c r="P85" s="261"/>
      <c r="Q85" s="262"/>
      <c r="R85" s="244"/>
      <c r="S85" s="262"/>
      <c r="T85" s="262"/>
      <c r="U85" s="260"/>
      <c r="V85" s="260"/>
      <c r="W85" s="260"/>
      <c r="X85" s="260"/>
      <c r="Y85" s="260"/>
      <c r="Z85" s="336">
        <f>+B85</f>
        <v>37300</v>
      </c>
    </row>
    <row r="86" spans="1:26" ht="21.75">
      <c r="A86" s="231" t="s">
        <v>249</v>
      </c>
      <c r="B86" s="244"/>
      <c r="C86" s="244"/>
      <c r="D86" s="260"/>
      <c r="E86" s="251"/>
      <c r="F86" s="251"/>
      <c r="G86" s="261"/>
      <c r="H86" s="251"/>
      <c r="I86" s="251"/>
      <c r="J86" s="261"/>
      <c r="K86" s="233"/>
      <c r="L86" s="244"/>
      <c r="M86" s="262"/>
      <c r="N86" s="262"/>
      <c r="O86" s="262"/>
      <c r="P86" s="261"/>
      <c r="Q86" s="262"/>
      <c r="R86" s="244"/>
      <c r="S86" s="262"/>
      <c r="T86" s="262"/>
      <c r="U86" s="260"/>
      <c r="V86" s="260"/>
      <c r="W86" s="260"/>
      <c r="X86" s="260"/>
      <c r="Y86" s="260"/>
      <c r="Z86" s="336">
        <f>B86</f>
        <v>0</v>
      </c>
    </row>
    <row r="87" spans="1:26" ht="21.75">
      <c r="A87" s="231" t="s">
        <v>250</v>
      </c>
      <c r="B87" s="244"/>
      <c r="C87" s="244"/>
      <c r="D87" s="260"/>
      <c r="E87" s="251"/>
      <c r="F87" s="251"/>
      <c r="G87" s="261"/>
      <c r="H87" s="251"/>
      <c r="I87" s="251"/>
      <c r="J87" s="261"/>
      <c r="K87" s="233"/>
      <c r="L87" s="244"/>
      <c r="M87" s="262"/>
      <c r="N87" s="262"/>
      <c r="O87" s="262"/>
      <c r="P87" s="261"/>
      <c r="Q87" s="262"/>
      <c r="R87" s="244"/>
      <c r="S87" s="262"/>
      <c r="T87" s="262"/>
      <c r="U87" s="260"/>
      <c r="V87" s="260"/>
      <c r="W87" s="260"/>
      <c r="X87" s="260"/>
      <c r="Y87" s="260"/>
      <c r="Z87" s="472">
        <f>B87</f>
        <v>0</v>
      </c>
    </row>
    <row r="88" spans="1:26" ht="21.75">
      <c r="A88" s="231" t="s">
        <v>251</v>
      </c>
      <c r="B88" s="244"/>
      <c r="C88" s="244"/>
      <c r="D88" s="260"/>
      <c r="E88" s="251"/>
      <c r="F88" s="251"/>
      <c r="G88" s="261"/>
      <c r="H88" s="251"/>
      <c r="I88" s="251"/>
      <c r="J88" s="261"/>
      <c r="K88" s="233"/>
      <c r="L88" s="244"/>
      <c r="M88" s="262"/>
      <c r="N88" s="262"/>
      <c r="O88" s="262"/>
      <c r="P88" s="261"/>
      <c r="Q88" s="262"/>
      <c r="R88" s="244"/>
      <c r="S88" s="262"/>
      <c r="T88" s="262"/>
      <c r="U88" s="260"/>
      <c r="V88" s="260"/>
      <c r="W88" s="260"/>
      <c r="X88" s="260"/>
      <c r="Y88" s="260"/>
      <c r="Z88" s="472">
        <f>B88</f>
        <v>0</v>
      </c>
    </row>
    <row r="89" spans="1:26" ht="21.75">
      <c r="A89" s="231" t="s">
        <v>252</v>
      </c>
      <c r="B89" s="244"/>
      <c r="C89" s="244"/>
      <c r="D89" s="260"/>
      <c r="E89" s="251"/>
      <c r="F89" s="251"/>
      <c r="G89" s="261"/>
      <c r="H89" s="251"/>
      <c r="I89" s="251"/>
      <c r="J89" s="263"/>
      <c r="K89" s="233"/>
      <c r="L89" s="244"/>
      <c r="M89" s="262" t="s">
        <v>117</v>
      </c>
      <c r="N89" s="262"/>
      <c r="O89" s="262"/>
      <c r="P89" s="261"/>
      <c r="Q89" s="262"/>
      <c r="R89" s="244"/>
      <c r="S89" s="262"/>
      <c r="T89" s="262"/>
      <c r="U89" s="260"/>
      <c r="V89" s="260"/>
      <c r="W89" s="260"/>
      <c r="X89" s="260"/>
      <c r="Y89" s="260"/>
      <c r="Z89" s="472">
        <f>B89</f>
        <v>0</v>
      </c>
    </row>
    <row r="90" spans="1:26" ht="21.75">
      <c r="A90" s="231" t="s">
        <v>253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44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472">
        <f>B90</f>
        <v>0</v>
      </c>
    </row>
    <row r="91" spans="1:26" ht="21.75">
      <c r="A91" s="231" t="s">
        <v>254</v>
      </c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472">
        <f>B91+E91</f>
        <v>0</v>
      </c>
    </row>
    <row r="92" spans="1:26" ht="21.75">
      <c r="A92" s="231" t="s">
        <v>255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50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472">
        <f>B92+E92</f>
        <v>0</v>
      </c>
    </row>
    <row r="93" spans="1:26" ht="21.75">
      <c r="A93" s="231" t="s">
        <v>256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51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472">
        <f>B93+E93</f>
        <v>0</v>
      </c>
    </row>
    <row r="94" spans="1:26" ht="21.75">
      <c r="A94" s="231" t="s">
        <v>257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50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472">
        <f>B94+E94</f>
        <v>0</v>
      </c>
    </row>
    <row r="95" spans="1:26" ht="21.75">
      <c r="A95" s="231" t="s">
        <v>569</v>
      </c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50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472"/>
    </row>
    <row r="96" spans="1:26" ht="21.75">
      <c r="A96" s="231" t="s">
        <v>567</v>
      </c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50"/>
      <c r="O96" s="233"/>
      <c r="P96" s="233"/>
      <c r="Q96" s="233"/>
      <c r="R96" s="233"/>
      <c r="S96" s="233">
        <v>69800</v>
      </c>
      <c r="T96" s="233"/>
      <c r="U96" s="233"/>
      <c r="V96" s="233"/>
      <c r="W96" s="233"/>
      <c r="X96" s="233"/>
      <c r="Y96" s="233"/>
      <c r="Z96" s="472">
        <f>+S96</f>
        <v>69800</v>
      </c>
    </row>
    <row r="97" spans="1:26" ht="21.75">
      <c r="A97" s="231" t="s">
        <v>568</v>
      </c>
      <c r="B97" s="233">
        <v>22450</v>
      </c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50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336">
        <f>B97+M97</f>
        <v>22450</v>
      </c>
    </row>
    <row r="98" spans="1:26" ht="22.5" thickBot="1">
      <c r="A98" s="238" t="s">
        <v>211</v>
      </c>
      <c r="B98" s="252">
        <f>B88+B97+B85+B91+B96</f>
        <v>59750</v>
      </c>
      <c r="C98" s="252" t="str">
        <f>C85</f>
        <v>  </v>
      </c>
      <c r="D98" s="252"/>
      <c r="E98" s="471">
        <f>E91+E92+E93</f>
        <v>0</v>
      </c>
      <c r="F98" s="252"/>
      <c r="G98" s="252"/>
      <c r="H98" s="252" t="s">
        <v>117</v>
      </c>
      <c r="I98" s="252"/>
      <c r="J98" s="252"/>
      <c r="K98" s="252"/>
      <c r="L98" s="252"/>
      <c r="M98" s="471">
        <f>M97</f>
        <v>0</v>
      </c>
      <c r="N98" s="253"/>
      <c r="O98" s="252"/>
      <c r="P98" s="252"/>
      <c r="Q98" s="253"/>
      <c r="R98" s="252"/>
      <c r="S98" s="252"/>
      <c r="T98" s="252"/>
      <c r="U98" s="252"/>
      <c r="V98" s="252"/>
      <c r="W98" s="252"/>
      <c r="X98" s="252"/>
      <c r="Y98" s="252"/>
      <c r="Z98" s="336">
        <f>Z85+Z88+Z91+Z92+Z93+Z96+Z97</f>
        <v>129550</v>
      </c>
    </row>
    <row r="99" spans="1:27" ht="22.5" thickBot="1">
      <c r="A99" s="243" t="s">
        <v>212</v>
      </c>
      <c r="B99" s="239">
        <f>B98+B84</f>
        <v>59750</v>
      </c>
      <c r="C99" s="239" t="s">
        <v>117</v>
      </c>
      <c r="D99" s="239"/>
      <c r="E99" s="466">
        <f>E98</f>
        <v>0</v>
      </c>
      <c r="F99" s="239"/>
      <c r="G99" s="239"/>
      <c r="H99" s="239" t="s">
        <v>117</v>
      </c>
      <c r="I99" s="239"/>
      <c r="J99" s="239"/>
      <c r="K99" s="239"/>
      <c r="L99" s="239"/>
      <c r="M99" s="466">
        <f>M98+M84</f>
        <v>0</v>
      </c>
      <c r="N99" s="239"/>
      <c r="O99" s="239"/>
      <c r="P99" s="239"/>
      <c r="Q99" s="239"/>
      <c r="R99" s="239"/>
      <c r="S99" s="239">
        <f>+S96</f>
        <v>69800</v>
      </c>
      <c r="T99" s="239"/>
      <c r="U99" s="239"/>
      <c r="V99" s="239"/>
      <c r="W99" s="239"/>
      <c r="X99" s="239"/>
      <c r="Y99" s="239"/>
      <c r="Z99" s="344">
        <f>Z98+Z84</f>
        <v>129550</v>
      </c>
      <c r="AA99" s="42">
        <f>Z99-(งบทดลอง1!F30+งบทดลอง1!F31)</f>
        <v>-129900</v>
      </c>
    </row>
    <row r="100" spans="1:26" ht="22.5" thickBot="1">
      <c r="A100" s="231" t="s">
        <v>258</v>
      </c>
      <c r="B100" s="244" t="s">
        <v>117</v>
      </c>
      <c r="C100" s="244" t="s">
        <v>117</v>
      </c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>
        <f>+S99+S84</f>
        <v>69800</v>
      </c>
      <c r="T100" s="244"/>
      <c r="U100" s="244"/>
      <c r="V100" s="244"/>
      <c r="W100" s="244"/>
      <c r="X100" s="244"/>
      <c r="Y100" s="244"/>
      <c r="Z100" s="473">
        <f>M100</f>
        <v>0</v>
      </c>
    </row>
    <row r="101" spans="1:26" ht="22.5" thickBot="1">
      <c r="A101" s="238" t="s">
        <v>211</v>
      </c>
      <c r="B101" s="242" t="s">
        <v>117</v>
      </c>
      <c r="C101" s="242"/>
      <c r="D101" s="239"/>
      <c r="E101" s="239"/>
      <c r="F101" s="239"/>
      <c r="G101" s="239"/>
      <c r="H101" s="239"/>
      <c r="I101" s="242"/>
      <c r="J101" s="242"/>
      <c r="K101" s="239"/>
      <c r="L101" s="239"/>
      <c r="M101" s="239"/>
      <c r="N101" s="239"/>
      <c r="O101" s="239"/>
      <c r="P101" s="239"/>
      <c r="Q101" s="242"/>
      <c r="R101" s="242"/>
      <c r="S101" s="239"/>
      <c r="T101" s="239"/>
      <c r="U101" s="239"/>
      <c r="V101" s="239"/>
      <c r="W101" s="239"/>
      <c r="X101" s="239"/>
      <c r="Y101" s="239"/>
      <c r="Z101" s="474">
        <f>Z100</f>
        <v>0</v>
      </c>
    </row>
    <row r="102" spans="1:27" ht="22.5" thickBot="1">
      <c r="A102" s="243" t="s">
        <v>212</v>
      </c>
      <c r="B102" s="239" t="s">
        <v>117</v>
      </c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475">
        <f>Z101</f>
        <v>0</v>
      </c>
      <c r="AA102" s="289"/>
    </row>
    <row r="103" spans="1:26" ht="21.75">
      <c r="A103" s="231" t="s">
        <v>259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55"/>
      <c r="R103" s="244"/>
      <c r="S103" s="244"/>
      <c r="T103" s="244"/>
      <c r="U103" s="244"/>
      <c r="V103" s="244"/>
      <c r="W103" s="244"/>
      <c r="X103" s="244"/>
      <c r="Y103" s="244"/>
      <c r="Z103" s="333"/>
    </row>
    <row r="104" spans="1:26" ht="21.75">
      <c r="A104" s="290" t="s">
        <v>286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5"/>
      <c r="Z104" s="337"/>
    </row>
    <row r="105" spans="1:26" ht="21.75">
      <c r="A105" s="290" t="s">
        <v>308</v>
      </c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35"/>
      <c r="Z105" s="324"/>
    </row>
    <row r="106" spans="1:26" ht="21.75">
      <c r="A106" s="305" t="s">
        <v>309</v>
      </c>
      <c r="B106" s="244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324"/>
    </row>
    <row r="107" spans="1:26" ht="22.5" thickBot="1">
      <c r="A107" s="305" t="s">
        <v>312</v>
      </c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53"/>
      <c r="Z107" s="337"/>
    </row>
    <row r="108" spans="1:26" ht="22.5" thickBot="1">
      <c r="A108" s="238" t="s">
        <v>211</v>
      </c>
      <c r="B108" s="242"/>
      <c r="C108" s="242"/>
      <c r="D108" s="239"/>
      <c r="E108" s="242"/>
      <c r="F108" s="242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42"/>
      <c r="R108" s="242"/>
      <c r="S108" s="239"/>
      <c r="T108" s="242"/>
      <c r="U108" s="239"/>
      <c r="V108" s="239"/>
      <c r="W108" s="239"/>
      <c r="X108" s="239"/>
      <c r="Y108" s="253"/>
      <c r="Z108" s="326"/>
    </row>
    <row r="109" spans="1:27" ht="22.5" thickBot="1">
      <c r="A109" s="249" t="s">
        <v>212</v>
      </c>
      <c r="B109" s="242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42"/>
      <c r="Z109" s="326">
        <f>Z108+Z103</f>
        <v>0</v>
      </c>
      <c r="AA109" s="289"/>
    </row>
    <row r="110" spans="1:26" ht="21.75">
      <c r="A110" s="231" t="s">
        <v>260</v>
      </c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317">
        <v>239850.6</v>
      </c>
      <c r="Z110" s="317">
        <f>+Y110</f>
        <v>239850.6</v>
      </c>
    </row>
    <row r="111" spans="1:26" ht="21.75">
      <c r="A111" s="231" t="s">
        <v>261</v>
      </c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>
        <v>150000</v>
      </c>
      <c r="Z111" s="333">
        <f>Y111</f>
        <v>150000</v>
      </c>
    </row>
    <row r="112" spans="1:26" ht="21.75">
      <c r="A112" s="231" t="s">
        <v>262</v>
      </c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333">
        <v>11364</v>
      </c>
    </row>
    <row r="113" spans="1:26" ht="21.75">
      <c r="A113" s="231" t="s">
        <v>263</v>
      </c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333">
        <f>Y113</f>
        <v>0</v>
      </c>
    </row>
    <row r="114" spans="1:27" ht="21.75">
      <c r="A114" s="279" t="s">
        <v>471</v>
      </c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>
        <v>2389.32</v>
      </c>
      <c r="Z114" s="324">
        <v>2389.32</v>
      </c>
      <c r="AA114" s="504"/>
    </row>
    <row r="115" spans="1:26" ht="22.5" thickBot="1">
      <c r="A115" s="279" t="s">
        <v>278</v>
      </c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>
        <v>32500</v>
      </c>
      <c r="Z115" s="333">
        <f>Y115</f>
        <v>32500</v>
      </c>
    </row>
    <row r="116" spans="1:26" ht="22.5" thickBot="1">
      <c r="A116" s="238" t="s">
        <v>211</v>
      </c>
      <c r="B116" s="242"/>
      <c r="C116" s="242"/>
      <c r="D116" s="239"/>
      <c r="E116" s="242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42"/>
      <c r="R116" s="242"/>
      <c r="S116" s="239"/>
      <c r="T116" s="242"/>
      <c r="U116" s="239"/>
      <c r="V116" s="239"/>
      <c r="W116" s="239"/>
      <c r="X116" s="239"/>
      <c r="Y116" s="239">
        <f>Y111+Y112+Y113+Y114+Y115</f>
        <v>184889.32</v>
      </c>
      <c r="Z116" s="331">
        <f>Z111+Z112+Z113+Z114+Z115</f>
        <v>196253.32</v>
      </c>
    </row>
    <row r="117" spans="1:27" ht="22.5" thickBot="1">
      <c r="A117" s="243" t="s">
        <v>212</v>
      </c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>
        <f>Y116+Y110</f>
        <v>424739.92000000004</v>
      </c>
      <c r="Z117" s="331">
        <f>Y117+B117</f>
        <v>424739.92000000004</v>
      </c>
      <c r="AA117" s="289">
        <f>Z117-(งบทดลอง1!F18)</f>
        <v>-22563.31999999995</v>
      </c>
    </row>
    <row r="118" spans="1:26" ht="21.75">
      <c r="A118" s="264"/>
      <c r="B118" s="265"/>
      <c r="C118" s="311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338"/>
    </row>
    <row r="119" spans="1:26" ht="21.75">
      <c r="A119" s="264"/>
      <c r="B119" s="265"/>
      <c r="C119" s="311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338"/>
    </row>
    <row r="120" spans="1:26" ht="23.25">
      <c r="A120" s="266"/>
      <c r="B120" s="266"/>
      <c r="C120" s="312"/>
      <c r="D120" s="28"/>
      <c r="E120" s="266"/>
      <c r="F120" s="266"/>
      <c r="G120" s="29"/>
      <c r="H120" s="267"/>
      <c r="I120" s="1"/>
      <c r="J120" s="14"/>
      <c r="K120" s="1"/>
      <c r="L120" s="14"/>
      <c r="M120" s="1"/>
      <c r="N120" s="1"/>
      <c r="O120" s="1"/>
      <c r="P120" s="14"/>
      <c r="Q120" s="1"/>
      <c r="R120" s="14"/>
      <c r="S120" s="1"/>
      <c r="T120" s="1"/>
      <c r="U120" s="14"/>
      <c r="V120" s="14"/>
      <c r="W120" s="14"/>
      <c r="X120" s="14"/>
      <c r="Y120" s="1"/>
      <c r="Z120" s="339"/>
    </row>
    <row r="121" spans="1:26" ht="23.25">
      <c r="A121" s="266"/>
      <c r="B121" s="266"/>
      <c r="C121" s="312"/>
      <c r="D121" s="28"/>
      <c r="E121" s="266"/>
      <c r="F121" s="266"/>
      <c r="G121" s="29"/>
      <c r="H121" s="267"/>
      <c r="I121" s="1"/>
      <c r="J121" s="14"/>
      <c r="K121" s="1"/>
      <c r="L121" s="14"/>
      <c r="M121" s="1"/>
      <c r="N121" s="1"/>
      <c r="O121" s="1"/>
      <c r="P121" s="14"/>
      <c r="Q121" s="1"/>
      <c r="R121" s="14"/>
      <c r="S121" s="1"/>
      <c r="T121" s="1"/>
      <c r="U121" s="14"/>
      <c r="V121" s="14"/>
      <c r="W121" s="14"/>
      <c r="X121" s="14"/>
      <c r="Y121" s="1"/>
      <c r="Z121" s="339"/>
    </row>
  </sheetData>
  <sheetProtection/>
  <mergeCells count="38">
    <mergeCell ref="V82:W82"/>
    <mergeCell ref="M43:O43"/>
    <mergeCell ref="Z82:Z83"/>
    <mergeCell ref="A1:Z1"/>
    <mergeCell ref="A2:Z2"/>
    <mergeCell ref="A3:Z3"/>
    <mergeCell ref="U5:U6"/>
    <mergeCell ref="Z5:Z6"/>
    <mergeCell ref="B5:C5"/>
    <mergeCell ref="D5:D6"/>
    <mergeCell ref="G5:G6"/>
    <mergeCell ref="A42:Z42"/>
    <mergeCell ref="H5:I5"/>
    <mergeCell ref="M5:O5"/>
    <mergeCell ref="P5:P6"/>
    <mergeCell ref="V5:W5"/>
    <mergeCell ref="E5:F5"/>
    <mergeCell ref="S5:T5"/>
    <mergeCell ref="Z43:Z44"/>
    <mergeCell ref="A81:Z81"/>
    <mergeCell ref="B82:C82"/>
    <mergeCell ref="V43:W43"/>
    <mergeCell ref="E82:F82"/>
    <mergeCell ref="S43:T43"/>
    <mergeCell ref="B43:C43"/>
    <mergeCell ref="D43:D44"/>
    <mergeCell ref="D82:D83"/>
    <mergeCell ref="P82:P83"/>
    <mergeCell ref="H43:I43"/>
    <mergeCell ref="G82:G83"/>
    <mergeCell ref="P43:P44"/>
    <mergeCell ref="S82:T82"/>
    <mergeCell ref="U82:U83"/>
    <mergeCell ref="E43:F43"/>
    <mergeCell ref="G43:G44"/>
    <mergeCell ref="H82:I82"/>
    <mergeCell ref="M82:O82"/>
    <mergeCell ref="U43:U44"/>
  </mergeCells>
  <printOptions/>
  <pageMargins left="0.35433070866141736" right="0.15748031496062992" top="0.2362204724409449" bottom="0.3" header="0.15748031496062992" footer="0.1968503937007874"/>
  <pageSetup horizontalDpi="600" verticalDpi="600" orientation="landscape" paperSize="5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02"/>
  <sheetViews>
    <sheetView view="pageBreakPreview" zoomScale="101" zoomScaleSheetLayoutView="101" workbookViewId="0" topLeftCell="A91">
      <selection activeCell="C89" sqref="C89"/>
    </sheetView>
  </sheetViews>
  <sheetFormatPr defaultColWidth="9.140625" defaultRowHeight="21.75"/>
  <cols>
    <col min="1" max="1" width="50.421875" style="13" customWidth="1"/>
    <col min="2" max="2" width="10.7109375" style="13" customWidth="1"/>
    <col min="3" max="3" width="12.421875" style="13" customWidth="1"/>
    <col min="4" max="4" width="4.00390625" style="13" customWidth="1"/>
    <col min="5" max="5" width="12.421875" style="13" customWidth="1"/>
    <col min="6" max="6" width="4.00390625" style="13" customWidth="1"/>
    <col min="7" max="16384" width="9.140625" style="13" customWidth="1"/>
  </cols>
  <sheetData>
    <row r="1" spans="1:6" ht="22.5">
      <c r="A1" s="668" t="s">
        <v>575</v>
      </c>
      <c r="B1" s="668"/>
      <c r="C1" s="668"/>
      <c r="D1" s="668"/>
      <c r="E1" s="668"/>
      <c r="F1" s="668"/>
    </row>
    <row r="2" spans="1:6" ht="22.5">
      <c r="A2" s="668" t="s">
        <v>574</v>
      </c>
      <c r="B2" s="668"/>
      <c r="C2" s="668"/>
      <c r="D2" s="668"/>
      <c r="E2" s="668"/>
      <c r="F2" s="668"/>
    </row>
    <row r="3" spans="1:6" ht="22.5">
      <c r="A3" s="669" t="s">
        <v>322</v>
      </c>
      <c r="B3" s="669"/>
      <c r="C3" s="669"/>
      <c r="D3" s="669"/>
      <c r="E3" s="669"/>
      <c r="F3" s="669"/>
    </row>
    <row r="4" spans="1:6" ht="22.5">
      <c r="A4" s="369" t="s">
        <v>491</v>
      </c>
      <c r="B4" s="369"/>
      <c r="C4" s="369"/>
      <c r="D4" s="369"/>
      <c r="E4" s="369"/>
      <c r="F4" s="369"/>
    </row>
    <row r="5" spans="1:6" ht="22.5">
      <c r="A5" s="370" t="s">
        <v>36</v>
      </c>
      <c r="B5" s="371" t="s">
        <v>35</v>
      </c>
      <c r="C5" s="670" t="s">
        <v>315</v>
      </c>
      <c r="D5" s="671"/>
      <c r="E5" s="672" t="s">
        <v>38</v>
      </c>
      <c r="F5" s="671"/>
    </row>
    <row r="6" spans="1:6" ht="22.5">
      <c r="A6" s="372" t="s">
        <v>576</v>
      </c>
      <c r="B6" s="373"/>
      <c r="C6" s="374">
        <v>3000</v>
      </c>
      <c r="D6" s="375" t="s">
        <v>53</v>
      </c>
      <c r="E6" s="376"/>
      <c r="F6" s="377"/>
    </row>
    <row r="7" spans="1:6" ht="22.5">
      <c r="A7" s="372" t="s">
        <v>577</v>
      </c>
      <c r="B7" s="379"/>
      <c r="C7" s="382">
        <v>11976</v>
      </c>
      <c r="D7" s="375" t="s">
        <v>53</v>
      </c>
      <c r="E7" s="372"/>
      <c r="F7" s="377"/>
    </row>
    <row r="8" spans="1:6" ht="22.5">
      <c r="A8" s="378" t="s">
        <v>316</v>
      </c>
      <c r="B8" s="379" t="s">
        <v>57</v>
      </c>
      <c r="C8" s="380"/>
      <c r="D8" s="381"/>
      <c r="E8" s="382">
        <f>+C6+C7</f>
        <v>14976</v>
      </c>
      <c r="F8" s="379" t="s">
        <v>53</v>
      </c>
    </row>
    <row r="9" spans="1:6" ht="22.5">
      <c r="A9" s="372"/>
      <c r="B9" s="379"/>
      <c r="C9" s="380"/>
      <c r="D9" s="381"/>
      <c r="E9" s="383"/>
      <c r="F9" s="384"/>
    </row>
    <row r="10" spans="1:6" ht="22.5">
      <c r="A10" s="372"/>
      <c r="B10" s="379"/>
      <c r="C10" s="383"/>
      <c r="D10" s="381"/>
      <c r="E10" s="383"/>
      <c r="F10" s="384"/>
    </row>
    <row r="11" spans="1:6" ht="22.5">
      <c r="A11" s="372"/>
      <c r="B11" s="379"/>
      <c r="C11" s="383"/>
      <c r="D11" s="381"/>
      <c r="E11" s="383"/>
      <c r="F11" s="384"/>
    </row>
    <row r="12" spans="1:6" ht="22.5">
      <c r="A12" s="372"/>
      <c r="B12" s="379"/>
      <c r="C12" s="383"/>
      <c r="D12" s="381"/>
      <c r="E12" s="383"/>
      <c r="F12" s="384"/>
    </row>
    <row r="13" spans="1:6" ht="22.5">
      <c r="A13" s="385"/>
      <c r="B13" s="379"/>
      <c r="C13" s="380"/>
      <c r="D13" s="381"/>
      <c r="E13" s="383"/>
      <c r="F13" s="384"/>
    </row>
    <row r="14" spans="1:6" ht="22.5">
      <c r="A14" s="372"/>
      <c r="B14" s="379"/>
      <c r="C14" s="380"/>
      <c r="D14" s="381"/>
      <c r="E14" s="383"/>
      <c r="F14" s="384"/>
    </row>
    <row r="15" spans="1:6" ht="22.5">
      <c r="A15" s="372"/>
      <c r="B15" s="379"/>
      <c r="C15" s="372"/>
      <c r="D15" s="381"/>
      <c r="E15" s="380"/>
      <c r="F15" s="384"/>
    </row>
    <row r="16" spans="1:6" ht="22.5">
      <c r="A16" s="386"/>
      <c r="B16" s="387"/>
      <c r="C16" s="388"/>
      <c r="D16" s="389"/>
      <c r="E16" s="390"/>
      <c r="F16" s="389"/>
    </row>
    <row r="17" spans="1:6" ht="22.5">
      <c r="A17" s="391" t="s">
        <v>323</v>
      </c>
      <c r="B17" s="392"/>
      <c r="C17" s="393"/>
      <c r="D17" s="381"/>
      <c r="E17" s="394"/>
      <c r="F17" s="384"/>
    </row>
    <row r="18" spans="1:6" ht="22.5">
      <c r="A18" s="673" t="s">
        <v>578</v>
      </c>
      <c r="B18" s="674"/>
      <c r="C18" s="674"/>
      <c r="D18" s="674"/>
      <c r="E18" s="674"/>
      <c r="F18" s="675"/>
    </row>
    <row r="19" spans="1:6" ht="22.5">
      <c r="A19" s="395" t="s">
        <v>579</v>
      </c>
      <c r="B19" s="392"/>
      <c r="C19" s="393"/>
      <c r="D19" s="381"/>
      <c r="E19" s="394"/>
      <c r="F19" s="384"/>
    </row>
    <row r="20" spans="1:6" ht="22.5">
      <c r="A20" s="396"/>
      <c r="B20" s="397"/>
      <c r="C20" s="393"/>
      <c r="D20" s="381"/>
      <c r="E20" s="394"/>
      <c r="F20" s="384"/>
    </row>
    <row r="21" spans="1:6" ht="22.5">
      <c r="A21" s="396"/>
      <c r="B21" s="397"/>
      <c r="C21" s="393"/>
      <c r="D21" s="381"/>
      <c r="E21" s="394"/>
      <c r="F21" s="384"/>
    </row>
    <row r="22" spans="1:6" ht="22.5">
      <c r="A22" s="396"/>
      <c r="B22" s="397"/>
      <c r="C22" s="393"/>
      <c r="D22" s="381"/>
      <c r="E22" s="394"/>
      <c r="F22" s="384"/>
    </row>
    <row r="23" spans="1:6" ht="22.5">
      <c r="A23" s="398"/>
      <c r="B23" s="392"/>
      <c r="C23" s="393"/>
      <c r="D23" s="381"/>
      <c r="E23" s="394"/>
      <c r="F23" s="384"/>
    </row>
    <row r="24" spans="1:6" ht="22.5">
      <c r="A24" s="398"/>
      <c r="B24" s="392"/>
      <c r="C24" s="393"/>
      <c r="D24" s="381"/>
      <c r="E24" s="394"/>
      <c r="F24" s="384"/>
    </row>
    <row r="25" spans="1:6" ht="22.5">
      <c r="A25" s="395" t="s">
        <v>324</v>
      </c>
      <c r="B25" s="393"/>
      <c r="C25" s="393"/>
      <c r="D25" s="381"/>
      <c r="E25" s="393"/>
      <c r="F25" s="377"/>
    </row>
    <row r="26" spans="1:6" ht="22.5">
      <c r="A26" s="395"/>
      <c r="B26" s="393"/>
      <c r="C26" s="393"/>
      <c r="D26" s="381"/>
      <c r="E26" s="393"/>
      <c r="F26" s="377"/>
    </row>
    <row r="27" spans="1:6" ht="22.5">
      <c r="A27" s="673"/>
      <c r="B27" s="674"/>
      <c r="C27" s="674"/>
      <c r="D27" s="674"/>
      <c r="E27" s="674"/>
      <c r="F27" s="675"/>
    </row>
    <row r="28" spans="1:6" ht="22.5">
      <c r="A28" s="395"/>
      <c r="B28" s="392"/>
      <c r="C28" s="393"/>
      <c r="D28" s="381"/>
      <c r="E28" s="394"/>
      <c r="F28" s="384"/>
    </row>
    <row r="29" spans="1:6" ht="22.5">
      <c r="A29" s="386"/>
      <c r="B29" s="399"/>
      <c r="C29" s="399"/>
      <c r="D29" s="399"/>
      <c r="E29" s="399"/>
      <c r="F29" s="400"/>
    </row>
    <row r="35" spans="1:6" ht="22.5">
      <c r="A35" s="668" t="s">
        <v>575</v>
      </c>
      <c r="B35" s="668"/>
      <c r="C35" s="668"/>
      <c r="D35" s="668"/>
      <c r="E35" s="668"/>
      <c r="F35" s="668"/>
    </row>
    <row r="36" spans="1:6" ht="22.5">
      <c r="A36" s="668" t="s">
        <v>580</v>
      </c>
      <c r="B36" s="668"/>
      <c r="C36" s="668"/>
      <c r="D36" s="668"/>
      <c r="E36" s="668"/>
      <c r="F36" s="668"/>
    </row>
    <row r="37" spans="1:6" ht="22.5">
      <c r="A37" s="669" t="s">
        <v>322</v>
      </c>
      <c r="B37" s="669"/>
      <c r="C37" s="669"/>
      <c r="D37" s="669"/>
      <c r="E37" s="669"/>
      <c r="F37" s="669"/>
    </row>
    <row r="38" spans="1:6" ht="22.5">
      <c r="A38" s="369" t="s">
        <v>491</v>
      </c>
      <c r="B38" s="369"/>
      <c r="C38" s="369"/>
      <c r="D38" s="369"/>
      <c r="E38" s="369"/>
      <c r="F38" s="369"/>
    </row>
    <row r="39" spans="1:6" ht="22.5">
      <c r="A39" s="370" t="s">
        <v>36</v>
      </c>
      <c r="B39" s="371" t="s">
        <v>35</v>
      </c>
      <c r="C39" s="670" t="s">
        <v>315</v>
      </c>
      <c r="D39" s="671"/>
      <c r="E39" s="672" t="s">
        <v>38</v>
      </c>
      <c r="F39" s="671"/>
    </row>
    <row r="40" spans="1:6" ht="22.5">
      <c r="A40" s="372" t="s">
        <v>44</v>
      </c>
      <c r="B40" s="373" t="s">
        <v>328</v>
      </c>
      <c r="C40" s="374">
        <v>40000</v>
      </c>
      <c r="D40" s="375" t="s">
        <v>53</v>
      </c>
      <c r="E40" s="376"/>
      <c r="F40" s="377"/>
    </row>
    <row r="41" spans="1:6" ht="22.5">
      <c r="A41" s="378" t="s">
        <v>316</v>
      </c>
      <c r="B41" s="379" t="s">
        <v>57</v>
      </c>
      <c r="C41" s="380"/>
      <c r="D41" s="381"/>
      <c r="E41" s="382">
        <f>C40</f>
        <v>40000</v>
      </c>
      <c r="F41" s="379" t="s">
        <v>53</v>
      </c>
    </row>
    <row r="42" spans="1:6" ht="22.5">
      <c r="A42" s="372"/>
      <c r="B42" s="379"/>
      <c r="C42" s="380"/>
      <c r="D42" s="381"/>
      <c r="E42" s="383"/>
      <c r="F42" s="384"/>
    </row>
    <row r="43" spans="1:6" ht="22.5">
      <c r="A43" s="372"/>
      <c r="B43" s="379"/>
      <c r="C43" s="383"/>
      <c r="D43" s="381"/>
      <c r="E43" s="383"/>
      <c r="F43" s="384"/>
    </row>
    <row r="44" spans="1:6" ht="22.5">
      <c r="A44" s="372"/>
      <c r="B44" s="379"/>
      <c r="C44" s="383"/>
      <c r="D44" s="381"/>
      <c r="E44" s="383"/>
      <c r="F44" s="384"/>
    </row>
    <row r="45" spans="1:6" ht="22.5">
      <c r="A45" s="372"/>
      <c r="B45" s="379"/>
      <c r="C45" s="383"/>
      <c r="D45" s="381"/>
      <c r="E45" s="383"/>
      <c r="F45" s="384"/>
    </row>
    <row r="46" spans="1:6" ht="22.5">
      <c r="A46" s="385"/>
      <c r="B46" s="379"/>
      <c r="C46" s="380"/>
      <c r="D46" s="381"/>
      <c r="E46" s="383"/>
      <c r="F46" s="384"/>
    </row>
    <row r="47" spans="1:6" ht="22.5">
      <c r="A47" s="372"/>
      <c r="B47" s="379"/>
      <c r="C47" s="380"/>
      <c r="D47" s="381"/>
      <c r="E47" s="383"/>
      <c r="F47" s="384"/>
    </row>
    <row r="48" spans="1:6" ht="22.5">
      <c r="A48" s="372"/>
      <c r="B48" s="379"/>
      <c r="C48" s="372"/>
      <c r="D48" s="381"/>
      <c r="E48" s="380"/>
      <c r="F48" s="384"/>
    </row>
    <row r="49" spans="1:6" ht="22.5">
      <c r="A49" s="386"/>
      <c r="B49" s="387"/>
      <c r="C49" s="388"/>
      <c r="D49" s="389"/>
      <c r="E49" s="390"/>
      <c r="F49" s="389"/>
    </row>
    <row r="50" spans="1:6" ht="22.5">
      <c r="A50" s="391" t="s">
        <v>323</v>
      </c>
      <c r="B50" s="392"/>
      <c r="C50" s="393"/>
      <c r="D50" s="381"/>
      <c r="E50" s="394"/>
      <c r="F50" s="384"/>
    </row>
    <row r="51" spans="1:6" ht="22.5">
      <c r="A51" s="673" t="s">
        <v>581</v>
      </c>
      <c r="B51" s="674"/>
      <c r="C51" s="674"/>
      <c r="D51" s="674"/>
      <c r="E51" s="674"/>
      <c r="F51" s="675"/>
    </row>
    <row r="52" spans="1:6" ht="22.5">
      <c r="A52" s="395" t="s">
        <v>582</v>
      </c>
      <c r="B52" s="392"/>
      <c r="C52" s="393"/>
      <c r="D52" s="381"/>
      <c r="E52" s="394"/>
      <c r="F52" s="384"/>
    </row>
    <row r="53" spans="1:6" ht="22.5">
      <c r="A53" s="396"/>
      <c r="B53" s="397"/>
      <c r="C53" s="393"/>
      <c r="D53" s="381"/>
      <c r="E53" s="394"/>
      <c r="F53" s="384"/>
    </row>
    <row r="54" spans="1:6" ht="22.5">
      <c r="A54" s="396"/>
      <c r="B54" s="397"/>
      <c r="C54" s="393"/>
      <c r="D54" s="381"/>
      <c r="E54" s="394"/>
      <c r="F54" s="384"/>
    </row>
    <row r="55" spans="1:6" ht="22.5">
      <c r="A55" s="396"/>
      <c r="B55" s="397"/>
      <c r="C55" s="393"/>
      <c r="D55" s="381"/>
      <c r="E55" s="394"/>
      <c r="F55" s="384"/>
    </row>
    <row r="56" spans="1:6" ht="22.5">
      <c r="A56" s="398"/>
      <c r="B56" s="392"/>
      <c r="C56" s="393"/>
      <c r="D56" s="381"/>
      <c r="E56" s="394"/>
      <c r="F56" s="384"/>
    </row>
    <row r="57" spans="1:6" ht="22.5">
      <c r="A57" s="398"/>
      <c r="B57" s="392"/>
      <c r="C57" s="393"/>
      <c r="D57" s="381"/>
      <c r="E57" s="394"/>
      <c r="F57" s="384"/>
    </row>
    <row r="58" spans="1:6" ht="22.5">
      <c r="A58" s="395" t="s">
        <v>324</v>
      </c>
      <c r="B58" s="393"/>
      <c r="C58" s="393"/>
      <c r="D58" s="381"/>
      <c r="E58" s="393"/>
      <c r="F58" s="377"/>
    </row>
    <row r="59" spans="1:6" ht="22.5">
      <c r="A59" s="395"/>
      <c r="B59" s="393"/>
      <c r="C59" s="393"/>
      <c r="D59" s="381"/>
      <c r="E59" s="393"/>
      <c r="F59" s="377"/>
    </row>
    <row r="60" spans="1:6" ht="22.5">
      <c r="A60" s="673"/>
      <c r="B60" s="674"/>
      <c r="C60" s="674"/>
      <c r="D60" s="674"/>
      <c r="E60" s="674"/>
      <c r="F60" s="675"/>
    </row>
    <row r="61" spans="1:6" ht="22.5">
      <c r="A61" s="395"/>
      <c r="B61" s="392"/>
      <c r="C61" s="393"/>
      <c r="D61" s="381"/>
      <c r="E61" s="394"/>
      <c r="F61" s="384"/>
    </row>
    <row r="62" spans="1:6" ht="22.5">
      <c r="A62" s="386"/>
      <c r="B62" s="399"/>
      <c r="C62" s="399"/>
      <c r="D62" s="399"/>
      <c r="E62" s="399"/>
      <c r="F62" s="400"/>
    </row>
    <row r="63" spans="1:6" ht="22.5">
      <c r="A63" s="393"/>
      <c r="B63" s="393"/>
      <c r="C63" s="393"/>
      <c r="D63" s="393"/>
      <c r="E63" s="393"/>
      <c r="F63" s="393"/>
    </row>
    <row r="64" spans="1:6" ht="22.5">
      <c r="A64" s="393"/>
      <c r="B64" s="393"/>
      <c r="C64" s="393"/>
      <c r="D64" s="393"/>
      <c r="E64" s="393"/>
      <c r="F64" s="393"/>
    </row>
    <row r="65" spans="1:6" ht="22.5">
      <c r="A65" s="393"/>
      <c r="B65" s="393"/>
      <c r="C65" s="393"/>
      <c r="D65" s="393"/>
      <c r="E65" s="393"/>
      <c r="F65" s="393"/>
    </row>
    <row r="66" spans="1:6" ht="22.5">
      <c r="A66" s="393"/>
      <c r="B66" s="393"/>
      <c r="C66" s="393"/>
      <c r="D66" s="393"/>
      <c r="E66" s="393"/>
      <c r="F66" s="393"/>
    </row>
    <row r="67" spans="1:6" ht="22.5">
      <c r="A67" s="393"/>
      <c r="B67" s="393"/>
      <c r="C67" s="393"/>
      <c r="D67" s="393"/>
      <c r="E67" s="393"/>
      <c r="F67" s="393"/>
    </row>
    <row r="68" spans="1:6" ht="22.5">
      <c r="A68" s="393"/>
      <c r="B68" s="393"/>
      <c r="C68" s="393"/>
      <c r="D68" s="393"/>
      <c r="E68" s="393"/>
      <c r="F68" s="393"/>
    </row>
    <row r="69" spans="1:6" ht="22.5">
      <c r="A69" s="668" t="s">
        <v>548</v>
      </c>
      <c r="B69" s="668"/>
      <c r="C69" s="668"/>
      <c r="D69" s="668"/>
      <c r="E69" s="668"/>
      <c r="F69" s="668"/>
    </row>
    <row r="70" spans="1:6" ht="22.5">
      <c r="A70" s="668" t="s">
        <v>583</v>
      </c>
      <c r="B70" s="668"/>
      <c r="C70" s="668"/>
      <c r="D70" s="668"/>
      <c r="E70" s="668"/>
      <c r="F70" s="668"/>
    </row>
    <row r="71" spans="1:6" ht="22.5">
      <c r="A71" s="669" t="s">
        <v>322</v>
      </c>
      <c r="B71" s="669"/>
      <c r="C71" s="669"/>
      <c r="D71" s="669"/>
      <c r="E71" s="669"/>
      <c r="F71" s="669"/>
    </row>
    <row r="72" spans="1:6" ht="22.5">
      <c r="A72" s="369" t="s">
        <v>491</v>
      </c>
      <c r="B72" s="369"/>
      <c r="C72" s="369"/>
      <c r="D72" s="369"/>
      <c r="E72" s="369"/>
      <c r="F72" s="369"/>
    </row>
    <row r="73" spans="1:6" ht="22.5">
      <c r="A73" s="370" t="s">
        <v>36</v>
      </c>
      <c r="B73" s="371" t="s">
        <v>35</v>
      </c>
      <c r="C73" s="670" t="s">
        <v>315</v>
      </c>
      <c r="D73" s="671"/>
      <c r="E73" s="672" t="s">
        <v>38</v>
      </c>
      <c r="F73" s="671"/>
    </row>
    <row r="74" spans="1:6" ht="22.5">
      <c r="A74" s="372" t="s">
        <v>44</v>
      </c>
      <c r="B74" s="373" t="s">
        <v>339</v>
      </c>
      <c r="C74" s="374">
        <v>8400</v>
      </c>
      <c r="D74" s="375" t="s">
        <v>53</v>
      </c>
      <c r="E74" s="376"/>
      <c r="F74" s="377"/>
    </row>
    <row r="75" spans="1:6" ht="22.5">
      <c r="A75" s="378" t="s">
        <v>316</v>
      </c>
      <c r="B75" s="379" t="s">
        <v>57</v>
      </c>
      <c r="C75" s="380"/>
      <c r="D75" s="381"/>
      <c r="E75" s="382">
        <f>C74</f>
        <v>8400</v>
      </c>
      <c r="F75" s="379" t="s">
        <v>53</v>
      </c>
    </row>
    <row r="76" spans="1:6" ht="22.5">
      <c r="A76" s="372"/>
      <c r="B76" s="379"/>
      <c r="C76" s="380"/>
      <c r="D76" s="381"/>
      <c r="E76" s="383"/>
      <c r="F76" s="384"/>
    </row>
    <row r="77" spans="1:6" ht="22.5">
      <c r="A77" s="372"/>
      <c r="B77" s="379"/>
      <c r="C77" s="383"/>
      <c r="D77" s="381"/>
      <c r="E77" s="383"/>
      <c r="F77" s="384"/>
    </row>
    <row r="78" spans="1:6" ht="22.5">
      <c r="A78" s="372"/>
      <c r="B78" s="379"/>
      <c r="C78" s="383"/>
      <c r="D78" s="381"/>
      <c r="E78" s="383"/>
      <c r="F78" s="384"/>
    </row>
    <row r="79" spans="1:6" ht="22.5">
      <c r="A79" s="372"/>
      <c r="B79" s="379"/>
      <c r="C79" s="383"/>
      <c r="D79" s="381"/>
      <c r="E79" s="383"/>
      <c r="F79" s="384"/>
    </row>
    <row r="80" spans="1:6" ht="22.5">
      <c r="A80" s="385"/>
      <c r="B80" s="379"/>
      <c r="C80" s="380"/>
      <c r="D80" s="381"/>
      <c r="E80" s="383"/>
      <c r="F80" s="384"/>
    </row>
    <row r="81" spans="1:6" ht="22.5">
      <c r="A81" s="372"/>
      <c r="B81" s="379"/>
      <c r="C81" s="380"/>
      <c r="D81" s="381"/>
      <c r="E81" s="383"/>
      <c r="F81" s="384"/>
    </row>
    <row r="82" spans="1:6" ht="22.5">
      <c r="A82" s="372"/>
      <c r="B82" s="379"/>
      <c r="C82" s="372"/>
      <c r="D82" s="381"/>
      <c r="E82" s="380"/>
      <c r="F82" s="384"/>
    </row>
    <row r="83" spans="1:6" ht="22.5">
      <c r="A83" s="386"/>
      <c r="B83" s="387"/>
      <c r="C83" s="388"/>
      <c r="D83" s="389"/>
      <c r="E83" s="390"/>
      <c r="F83" s="389"/>
    </row>
    <row r="84" spans="1:6" ht="22.5">
      <c r="A84" s="391" t="s">
        <v>323</v>
      </c>
      <c r="B84" s="392"/>
      <c r="C84" s="393"/>
      <c r="D84" s="381"/>
      <c r="E84" s="394"/>
      <c r="F84" s="384"/>
    </row>
    <row r="85" spans="1:6" ht="22.5">
      <c r="A85" s="673" t="s">
        <v>584</v>
      </c>
      <c r="B85" s="674"/>
      <c r="C85" s="674"/>
      <c r="D85" s="674"/>
      <c r="E85" s="674"/>
      <c r="F85" s="675"/>
    </row>
    <row r="86" spans="1:6" ht="22.5">
      <c r="A86" s="395" t="s">
        <v>585</v>
      </c>
      <c r="B86" s="392"/>
      <c r="C86" s="393"/>
      <c r="D86" s="381"/>
      <c r="E86" s="394"/>
      <c r="F86" s="384"/>
    </row>
    <row r="87" spans="1:6" ht="22.5">
      <c r="A87" s="396"/>
      <c r="B87" s="397"/>
      <c r="C87" s="393"/>
      <c r="D87" s="381"/>
      <c r="E87" s="394"/>
      <c r="F87" s="384"/>
    </row>
    <row r="88" spans="1:6" ht="22.5">
      <c r="A88" s="396"/>
      <c r="B88" s="397"/>
      <c r="C88" s="393"/>
      <c r="D88" s="381"/>
      <c r="E88" s="394"/>
      <c r="F88" s="384"/>
    </row>
    <row r="89" spans="1:6" ht="22.5">
      <c r="A89" s="396"/>
      <c r="B89" s="397"/>
      <c r="C89" s="393"/>
      <c r="D89" s="381"/>
      <c r="E89" s="394"/>
      <c r="F89" s="384"/>
    </row>
    <row r="90" spans="1:6" ht="22.5">
      <c r="A90" s="398"/>
      <c r="B90" s="392"/>
      <c r="C90" s="393"/>
      <c r="D90" s="381"/>
      <c r="E90" s="394"/>
      <c r="F90" s="384"/>
    </row>
    <row r="91" spans="1:6" ht="22.5">
      <c r="A91" s="398"/>
      <c r="B91" s="392"/>
      <c r="C91" s="393"/>
      <c r="D91" s="381"/>
      <c r="E91" s="394"/>
      <c r="F91" s="384"/>
    </row>
    <row r="92" spans="1:6" ht="22.5">
      <c r="A92" s="395" t="s">
        <v>324</v>
      </c>
      <c r="B92" s="393"/>
      <c r="C92" s="393"/>
      <c r="D92" s="381"/>
      <c r="E92" s="393"/>
      <c r="F92" s="377"/>
    </row>
    <row r="93" spans="1:6" ht="22.5">
      <c r="A93" s="395"/>
      <c r="B93" s="393"/>
      <c r="C93" s="393"/>
      <c r="D93" s="381"/>
      <c r="E93" s="393"/>
      <c r="F93" s="377"/>
    </row>
    <row r="94" spans="1:6" ht="22.5">
      <c r="A94" s="673"/>
      <c r="B94" s="674"/>
      <c r="C94" s="674"/>
      <c r="D94" s="674"/>
      <c r="E94" s="674"/>
      <c r="F94" s="675"/>
    </row>
    <row r="95" spans="1:6" ht="22.5">
      <c r="A95" s="395"/>
      <c r="B95" s="392"/>
      <c r="C95" s="393"/>
      <c r="D95" s="381"/>
      <c r="E95" s="394"/>
      <c r="F95" s="384"/>
    </row>
    <row r="96" spans="1:6" ht="22.5">
      <c r="A96" s="386"/>
      <c r="B96" s="399"/>
      <c r="C96" s="399"/>
      <c r="D96" s="399"/>
      <c r="E96" s="399"/>
      <c r="F96" s="400"/>
    </row>
    <row r="97" spans="1:6" ht="22.5">
      <c r="A97" s="393"/>
      <c r="B97" s="393"/>
      <c r="C97" s="393"/>
      <c r="D97" s="393"/>
      <c r="E97" s="393"/>
      <c r="F97" s="393"/>
    </row>
    <row r="98" spans="1:6" ht="22.5">
      <c r="A98" s="393"/>
      <c r="B98" s="393"/>
      <c r="C98" s="393"/>
      <c r="D98" s="393"/>
      <c r="E98" s="393"/>
      <c r="F98" s="393"/>
    </row>
    <row r="99" spans="1:6" ht="22.5">
      <c r="A99" s="393"/>
      <c r="B99" s="393"/>
      <c r="C99" s="393"/>
      <c r="D99" s="393"/>
      <c r="E99" s="393"/>
      <c r="F99" s="393"/>
    </row>
    <row r="100" spans="1:6" ht="22.5">
      <c r="A100" s="393"/>
      <c r="B100" s="393"/>
      <c r="C100" s="393"/>
      <c r="D100" s="393"/>
      <c r="E100" s="393"/>
      <c r="F100" s="393"/>
    </row>
    <row r="101" spans="1:6" ht="22.5">
      <c r="A101" s="393"/>
      <c r="B101" s="393"/>
      <c r="C101" s="393"/>
      <c r="D101" s="393"/>
      <c r="E101" s="393"/>
      <c r="F101" s="393"/>
    </row>
    <row r="102" spans="1:6" ht="22.5">
      <c r="A102" s="393"/>
      <c r="B102" s="393"/>
      <c r="C102" s="393"/>
      <c r="D102" s="393"/>
      <c r="E102" s="393"/>
      <c r="F102" s="393"/>
    </row>
  </sheetData>
  <sheetProtection/>
  <mergeCells count="21">
    <mergeCell ref="A85:F85"/>
    <mergeCell ref="C73:D73"/>
    <mergeCell ref="A70:F70"/>
    <mergeCell ref="A94:F94"/>
    <mergeCell ref="E73:F73"/>
    <mergeCell ref="A69:F69"/>
    <mergeCell ref="A71:F71"/>
    <mergeCell ref="A35:F35"/>
    <mergeCell ref="A36:F36"/>
    <mergeCell ref="A60:F60"/>
    <mergeCell ref="A18:F18"/>
    <mergeCell ref="A51:F51"/>
    <mergeCell ref="A37:F37"/>
    <mergeCell ref="C39:D39"/>
    <mergeCell ref="E39:F39"/>
    <mergeCell ref="A1:F1"/>
    <mergeCell ref="A2:F2"/>
    <mergeCell ref="A3:F3"/>
    <mergeCell ref="C5:D5"/>
    <mergeCell ref="E5:F5"/>
    <mergeCell ref="A27:F27"/>
  </mergeCells>
  <printOptions/>
  <pageMargins left="0.83" right="0.47" top="0.63" bottom="1" header="0.26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40"/>
  <sheetViews>
    <sheetView view="pageBreakPreview" zoomScaleSheetLayoutView="100" workbookViewId="0" topLeftCell="A10">
      <selection activeCell="A16" sqref="A16"/>
    </sheetView>
  </sheetViews>
  <sheetFormatPr defaultColWidth="9.140625" defaultRowHeight="21.75"/>
  <cols>
    <col min="1" max="1" width="62.28125" style="346" customWidth="1"/>
    <col min="2" max="2" width="10.00390625" style="346" customWidth="1"/>
    <col min="3" max="3" width="16.7109375" style="346" customWidth="1"/>
    <col min="4" max="4" width="16.421875" style="346" customWidth="1"/>
    <col min="5" max="5" width="29.421875" style="346" bestFit="1" customWidth="1"/>
    <col min="6" max="7" width="20.421875" style="346" bestFit="1" customWidth="1"/>
    <col min="8" max="16384" width="9.140625" style="346" customWidth="1"/>
  </cols>
  <sheetData>
    <row r="1" spans="1:4" ht="23.25">
      <c r="A1" s="676" t="s">
        <v>586</v>
      </c>
      <c r="B1" s="676"/>
      <c r="C1" s="676"/>
      <c r="D1" s="676"/>
    </row>
    <row r="2" spans="1:4" ht="23.25">
      <c r="A2" s="676" t="s">
        <v>587</v>
      </c>
      <c r="B2" s="676"/>
      <c r="C2" s="676"/>
      <c r="D2" s="676"/>
    </row>
    <row r="3" spans="1:4" ht="23.25">
      <c r="A3" s="677" t="s">
        <v>382</v>
      </c>
      <c r="B3" s="677"/>
      <c r="C3" s="677"/>
      <c r="D3" s="677"/>
    </row>
    <row r="4" spans="1:4" ht="23.25">
      <c r="A4" s="345" t="s">
        <v>491</v>
      </c>
      <c r="B4" s="345"/>
      <c r="C4" s="345"/>
      <c r="D4" s="345"/>
    </row>
    <row r="5" spans="1:4" ht="23.25">
      <c r="A5" s="347" t="s">
        <v>36</v>
      </c>
      <c r="B5" s="348" t="s">
        <v>35</v>
      </c>
      <c r="C5" s="348" t="s">
        <v>315</v>
      </c>
      <c r="D5" s="348" t="s">
        <v>38</v>
      </c>
    </row>
    <row r="6" spans="1:5" ht="23.25">
      <c r="A6" s="185" t="s">
        <v>383</v>
      </c>
      <c r="B6" s="349"/>
      <c r="C6" s="350">
        <v>235720.56</v>
      </c>
      <c r="D6" s="351"/>
      <c r="E6" s="368"/>
    </row>
    <row r="7" spans="1:4" ht="23.25">
      <c r="A7" s="185" t="s">
        <v>384</v>
      </c>
      <c r="B7" s="349"/>
      <c r="C7" s="350">
        <v>10312118.85</v>
      </c>
      <c r="D7" s="351"/>
    </row>
    <row r="8" spans="1:4" ht="23.25">
      <c r="A8" s="185" t="s">
        <v>403</v>
      </c>
      <c r="B8" s="349"/>
      <c r="C8" s="350">
        <v>36.43</v>
      </c>
      <c r="D8" s="351"/>
    </row>
    <row r="9" spans="1:4" ht="23.25">
      <c r="A9" s="185" t="s">
        <v>385</v>
      </c>
      <c r="B9" s="349"/>
      <c r="C9" s="350">
        <v>14148.73</v>
      </c>
      <c r="D9" s="351"/>
    </row>
    <row r="10" spans="1:4" ht="23.25">
      <c r="A10" s="185" t="s">
        <v>386</v>
      </c>
      <c r="B10" s="349"/>
      <c r="C10" s="350">
        <v>410.02</v>
      </c>
      <c r="D10" s="351"/>
    </row>
    <row r="11" spans="1:4" ht="23.25">
      <c r="A11" s="185" t="s">
        <v>39</v>
      </c>
      <c r="B11" s="349"/>
      <c r="C11" s="350">
        <v>196517</v>
      </c>
      <c r="D11" s="351"/>
    </row>
    <row r="12" spans="1:4" ht="22.5" customHeight="1">
      <c r="A12" s="185" t="s">
        <v>541</v>
      </c>
      <c r="B12" s="188"/>
      <c r="C12" s="350">
        <v>11992</v>
      </c>
      <c r="D12" s="351"/>
    </row>
    <row r="13" spans="1:4" ht="23.25">
      <c r="A13" s="439" t="s">
        <v>114</v>
      </c>
      <c r="B13" s="188"/>
      <c r="C13" s="350"/>
      <c r="D13" s="351">
        <v>4659272.82</v>
      </c>
    </row>
    <row r="14" spans="1:4" ht="23.25">
      <c r="A14" s="439" t="s">
        <v>539</v>
      </c>
      <c r="B14" s="188"/>
      <c r="C14" s="350"/>
      <c r="D14" s="351">
        <v>9208.28</v>
      </c>
    </row>
    <row r="15" spans="1:4" ht="23.25">
      <c r="A15" s="439" t="s">
        <v>590</v>
      </c>
      <c r="B15" s="188"/>
      <c r="C15" s="350"/>
      <c r="D15" s="351">
        <v>3760800</v>
      </c>
    </row>
    <row r="16" spans="1:4" ht="23.25">
      <c r="A16" s="439" t="s">
        <v>549</v>
      </c>
      <c r="B16" s="188"/>
      <c r="C16" s="350"/>
      <c r="D16" s="351">
        <v>2098205.61</v>
      </c>
    </row>
    <row r="17" spans="1:4" ht="23.25">
      <c r="A17" s="439" t="s">
        <v>588</v>
      </c>
      <c r="B17" s="188"/>
      <c r="C17" s="350"/>
      <c r="D17" s="351">
        <v>558</v>
      </c>
    </row>
    <row r="18" spans="1:4" ht="23.25">
      <c r="A18" s="439" t="s">
        <v>387</v>
      </c>
      <c r="B18" s="188"/>
      <c r="C18" s="350"/>
      <c r="D18" s="351">
        <v>1214.3</v>
      </c>
    </row>
    <row r="19" spans="1:4" ht="23.25">
      <c r="A19" s="439" t="s">
        <v>589</v>
      </c>
      <c r="B19" s="188"/>
      <c r="C19" s="350"/>
      <c r="D19" s="351">
        <v>410.02</v>
      </c>
    </row>
    <row r="20" spans="1:4" ht="23.25">
      <c r="A20" s="439" t="s">
        <v>44</v>
      </c>
      <c r="B20" s="188"/>
      <c r="C20" s="350"/>
      <c r="D20" s="351">
        <v>3000</v>
      </c>
    </row>
    <row r="21" spans="1:4" ht="23.25">
      <c r="A21" s="439" t="s">
        <v>48</v>
      </c>
      <c r="B21" s="188"/>
      <c r="C21" s="350"/>
      <c r="D21" s="351">
        <v>2554</v>
      </c>
    </row>
    <row r="22" spans="1:4" ht="23.25">
      <c r="A22" s="439" t="s">
        <v>39</v>
      </c>
      <c r="B22" s="188"/>
      <c r="C22" s="350"/>
      <c r="D22" s="351">
        <v>235720.56</v>
      </c>
    </row>
    <row r="23" spans="1:4" ht="23.25">
      <c r="A23" s="439"/>
      <c r="B23" s="188"/>
      <c r="C23" s="350"/>
      <c r="D23" s="351"/>
    </row>
    <row r="24" spans="1:4" ht="23.25">
      <c r="A24" s="439"/>
      <c r="B24" s="188"/>
      <c r="C24" s="350"/>
      <c r="D24" s="351"/>
    </row>
    <row r="25" spans="1:4" ht="23.25">
      <c r="A25" s="439"/>
      <c r="B25" s="188"/>
      <c r="C25" s="350"/>
      <c r="D25" s="351"/>
    </row>
    <row r="26" spans="1:5" ht="23.25">
      <c r="A26" s="439"/>
      <c r="B26" s="349"/>
      <c r="C26" s="350">
        <f>SUM(C6:C25)</f>
        <v>10770943.59</v>
      </c>
      <c r="D26" s="351">
        <f>SUM(D13:D25)</f>
        <v>10770943.590000002</v>
      </c>
      <c r="E26" s="482">
        <f>C26-D26</f>
        <v>0</v>
      </c>
    </row>
    <row r="27" spans="1:5" ht="23.25">
      <c r="A27" s="185"/>
      <c r="B27" s="188"/>
      <c r="C27" s="351"/>
      <c r="D27" s="480"/>
      <c r="E27" s="368"/>
    </row>
    <row r="28" spans="1:4" ht="23.25">
      <c r="A28" s="354" t="s">
        <v>591</v>
      </c>
      <c r="B28" s="355"/>
      <c r="C28" s="355"/>
      <c r="D28" s="356"/>
    </row>
    <row r="29" spans="1:4" ht="23.25">
      <c r="A29" s="357"/>
      <c r="B29" s="48"/>
      <c r="C29" s="48"/>
      <c r="D29" s="358"/>
    </row>
    <row r="30" spans="1:4" ht="23.25">
      <c r="A30" s="357"/>
      <c r="B30" s="48"/>
      <c r="C30" s="48"/>
      <c r="D30" s="358"/>
    </row>
    <row r="31" spans="1:4" ht="20.25">
      <c r="A31" s="484"/>
      <c r="B31" s="485"/>
      <c r="C31" s="485"/>
      <c r="D31" s="486"/>
    </row>
    <row r="32" spans="1:4" ht="23.25">
      <c r="A32" s="200" t="s">
        <v>426</v>
      </c>
      <c r="B32" s="48"/>
      <c r="C32" s="48"/>
      <c r="D32" s="426"/>
    </row>
    <row r="33" spans="1:4" ht="23.25">
      <c r="A33" s="200"/>
      <c r="B33" s="48"/>
      <c r="C33" s="48"/>
      <c r="D33" s="426"/>
    </row>
    <row r="34" spans="1:4" ht="23.25">
      <c r="A34" s="200"/>
      <c r="B34" s="48"/>
      <c r="C34" s="48"/>
      <c r="D34" s="426"/>
    </row>
    <row r="35" spans="1:4" ht="23.25">
      <c r="A35" s="200"/>
      <c r="B35" s="48"/>
      <c r="C35" s="48"/>
      <c r="D35" s="364"/>
    </row>
    <row r="36" spans="1:4" ht="23.25">
      <c r="A36" s="365"/>
      <c r="B36" s="366"/>
      <c r="C36" s="366"/>
      <c r="D36" s="367"/>
    </row>
    <row r="40" spans="1:4" ht="23.25">
      <c r="A40" s="676" t="s">
        <v>413</v>
      </c>
      <c r="B40" s="676"/>
      <c r="C40" s="676"/>
      <c r="D40" s="676"/>
    </row>
    <row r="41" spans="1:4" ht="23.25">
      <c r="A41" s="676" t="s">
        <v>411</v>
      </c>
      <c r="B41" s="676"/>
      <c r="C41" s="676"/>
      <c r="D41" s="676"/>
    </row>
    <row r="42" spans="1:4" ht="23.25">
      <c r="A42" s="677" t="s">
        <v>382</v>
      </c>
      <c r="B42" s="677"/>
      <c r="C42" s="677"/>
      <c r="D42" s="677"/>
    </row>
    <row r="43" spans="1:4" ht="23.25">
      <c r="A43" s="345" t="s">
        <v>314</v>
      </c>
      <c r="B43" s="345"/>
      <c r="C43" s="345"/>
      <c r="D43" s="345"/>
    </row>
    <row r="44" spans="1:4" ht="23.25">
      <c r="A44" s="347" t="s">
        <v>36</v>
      </c>
      <c r="B44" s="348" t="s">
        <v>35</v>
      </c>
      <c r="C44" s="348" t="s">
        <v>315</v>
      </c>
      <c r="D44" s="348" t="s">
        <v>38</v>
      </c>
    </row>
    <row r="45" spans="1:4" ht="23.25">
      <c r="A45" s="185" t="s">
        <v>383</v>
      </c>
      <c r="B45" s="349"/>
      <c r="C45" s="350">
        <v>78605</v>
      </c>
      <c r="D45" s="351"/>
    </row>
    <row r="46" spans="1:4" ht="23.25">
      <c r="A46" s="185" t="s">
        <v>384</v>
      </c>
      <c r="B46" s="349"/>
      <c r="C46" s="350">
        <v>2586677.9</v>
      </c>
      <c r="D46" s="351"/>
    </row>
    <row r="47" spans="1:4" ht="23.25">
      <c r="A47" s="185" t="s">
        <v>386</v>
      </c>
      <c r="B47" s="349"/>
      <c r="C47" s="350">
        <v>20000</v>
      </c>
      <c r="D47" s="351"/>
    </row>
    <row r="48" spans="1:4" ht="23.25">
      <c r="A48" s="185" t="s">
        <v>403</v>
      </c>
      <c r="B48" s="349"/>
      <c r="C48" s="350">
        <v>350</v>
      </c>
      <c r="D48" s="351"/>
    </row>
    <row r="49" spans="1:4" ht="23.25">
      <c r="A49" s="185" t="s">
        <v>39</v>
      </c>
      <c r="B49" s="188"/>
      <c r="C49" s="350">
        <v>126578</v>
      </c>
      <c r="D49" s="351"/>
    </row>
    <row r="50" spans="1:4" ht="23.25">
      <c r="A50" s="439" t="s">
        <v>114</v>
      </c>
      <c r="B50" s="188"/>
      <c r="C50" s="350"/>
      <c r="D50" s="351">
        <v>835689.42</v>
      </c>
    </row>
    <row r="51" spans="1:4" ht="23.25">
      <c r="A51" s="439" t="s">
        <v>404</v>
      </c>
      <c r="B51" s="188"/>
      <c r="C51" s="350"/>
      <c r="D51" s="351">
        <v>1757700</v>
      </c>
    </row>
    <row r="52" spans="1:4" ht="23.25">
      <c r="A52" s="439" t="s">
        <v>405</v>
      </c>
      <c r="B52" s="188"/>
      <c r="C52" s="350"/>
      <c r="D52" s="351"/>
    </row>
    <row r="53" spans="1:4" ht="23.25">
      <c r="A53" s="439" t="s">
        <v>39</v>
      </c>
      <c r="B53" s="188"/>
      <c r="C53" s="350"/>
      <c r="D53" s="351">
        <v>98955</v>
      </c>
    </row>
    <row r="54" spans="1:4" ht="23.25">
      <c r="A54" s="439" t="s">
        <v>387</v>
      </c>
      <c r="B54" s="188"/>
      <c r="C54" s="350"/>
      <c r="D54" s="351">
        <v>63.6</v>
      </c>
    </row>
    <row r="55" spans="1:4" ht="23.25">
      <c r="A55" s="439" t="s">
        <v>388</v>
      </c>
      <c r="B55" s="188"/>
      <c r="C55" s="350"/>
      <c r="D55" s="351">
        <v>76.32</v>
      </c>
    </row>
    <row r="56" spans="1:4" ht="23.25">
      <c r="A56" s="439" t="s">
        <v>390</v>
      </c>
      <c r="B56" s="188"/>
      <c r="C56" s="350"/>
      <c r="D56" s="351">
        <v>20000</v>
      </c>
    </row>
    <row r="57" spans="1:4" ht="23.25">
      <c r="A57" s="439" t="s">
        <v>366</v>
      </c>
      <c r="B57" s="188"/>
      <c r="C57" s="350"/>
      <c r="D57" s="351">
        <v>300</v>
      </c>
    </row>
    <row r="58" spans="1:4" ht="23.25">
      <c r="A58" s="439" t="s">
        <v>389</v>
      </c>
      <c r="B58" s="188"/>
      <c r="C58" s="350"/>
      <c r="D58" s="351">
        <v>13950</v>
      </c>
    </row>
    <row r="59" spans="1:4" ht="23.25">
      <c r="A59" s="439" t="s">
        <v>406</v>
      </c>
      <c r="B59" s="188"/>
      <c r="C59" s="350"/>
      <c r="D59" s="351">
        <v>39210</v>
      </c>
    </row>
    <row r="60" spans="1:4" ht="23.25">
      <c r="A60" s="439" t="s">
        <v>407</v>
      </c>
      <c r="B60" s="188"/>
      <c r="C60" s="350"/>
      <c r="D60" s="351">
        <v>3350</v>
      </c>
    </row>
    <row r="61" spans="1:4" ht="23.25">
      <c r="A61" s="439" t="s">
        <v>408</v>
      </c>
      <c r="B61" s="188"/>
      <c r="C61" s="350"/>
      <c r="D61" s="351">
        <v>18416.56</v>
      </c>
    </row>
    <row r="62" spans="1:4" ht="23.25">
      <c r="A62" s="439" t="s">
        <v>48</v>
      </c>
      <c r="B62" s="188"/>
      <c r="C62" s="350"/>
      <c r="D62" s="351">
        <v>14500</v>
      </c>
    </row>
    <row r="63" spans="1:4" ht="23.25">
      <c r="A63" s="439" t="s">
        <v>409</v>
      </c>
      <c r="B63" s="188"/>
      <c r="C63" s="350"/>
      <c r="D63" s="351">
        <v>10000</v>
      </c>
    </row>
    <row r="64" spans="1:5" ht="23.25">
      <c r="A64" s="439"/>
      <c r="B64" s="349"/>
      <c r="C64" s="487">
        <f>SUM(C45:C55)</f>
        <v>2812210.9</v>
      </c>
      <c r="D64" s="488">
        <f>SUM(D50:D63)</f>
        <v>2812210.9</v>
      </c>
      <c r="E64" s="479">
        <f>C64-D64</f>
        <v>0</v>
      </c>
    </row>
    <row r="65" spans="1:5" ht="23.25">
      <c r="A65" s="185"/>
      <c r="B65" s="188"/>
      <c r="C65" s="351"/>
      <c r="D65" s="480"/>
      <c r="E65" s="489"/>
    </row>
    <row r="66" spans="1:4" ht="23.25">
      <c r="A66" s="354" t="s">
        <v>410</v>
      </c>
      <c r="B66" s="355"/>
      <c r="C66" s="355"/>
      <c r="D66" s="356"/>
    </row>
    <row r="67" spans="1:4" ht="20.25">
      <c r="A67" s="484"/>
      <c r="B67" s="485"/>
      <c r="C67" s="485"/>
      <c r="D67" s="486"/>
    </row>
    <row r="68" spans="1:4" ht="23.25">
      <c r="A68" s="200" t="s">
        <v>426</v>
      </c>
      <c r="B68" s="48"/>
      <c r="C68" s="48"/>
      <c r="D68" s="426"/>
    </row>
    <row r="69" spans="1:4" ht="23.25">
      <c r="A69" s="200"/>
      <c r="B69" s="48"/>
      <c r="C69" s="48"/>
      <c r="D69" s="426"/>
    </row>
    <row r="70" spans="1:4" ht="23.25">
      <c r="A70" s="200"/>
      <c r="B70" s="48"/>
      <c r="C70" s="48"/>
      <c r="D70" s="426"/>
    </row>
    <row r="71" spans="1:4" ht="23.25">
      <c r="A71" s="200"/>
      <c r="B71" s="48"/>
      <c r="C71" s="48"/>
      <c r="D71" s="364"/>
    </row>
    <row r="72" spans="1:4" ht="23.25">
      <c r="A72" s="365"/>
      <c r="B72" s="366"/>
      <c r="C72" s="366"/>
      <c r="D72" s="367"/>
    </row>
    <row r="74" spans="1:4" ht="23.25">
      <c r="A74" s="676" t="s">
        <v>419</v>
      </c>
      <c r="B74" s="676"/>
      <c r="C74" s="676"/>
      <c r="D74" s="676"/>
    </row>
    <row r="75" spans="1:4" ht="23.25">
      <c r="A75" s="676" t="s">
        <v>412</v>
      </c>
      <c r="B75" s="676"/>
      <c r="C75" s="676"/>
      <c r="D75" s="676"/>
    </row>
    <row r="76" spans="1:4" ht="23.25">
      <c r="A76" s="677" t="s">
        <v>382</v>
      </c>
      <c r="B76" s="677"/>
      <c r="C76" s="677"/>
      <c r="D76" s="677"/>
    </row>
    <row r="77" spans="1:4" ht="23.25">
      <c r="A77" s="345" t="s">
        <v>314</v>
      </c>
      <c r="B77" s="345"/>
      <c r="C77" s="345"/>
      <c r="D77" s="345"/>
    </row>
    <row r="78" spans="1:4" ht="23.25">
      <c r="A78" s="347" t="s">
        <v>36</v>
      </c>
      <c r="B78" s="348" t="s">
        <v>35</v>
      </c>
      <c r="C78" s="348" t="s">
        <v>315</v>
      </c>
      <c r="D78" s="348" t="s">
        <v>38</v>
      </c>
    </row>
    <row r="79" spans="1:4" ht="23.25">
      <c r="A79" s="185" t="s">
        <v>383</v>
      </c>
      <c r="B79" s="349"/>
      <c r="C79" s="350">
        <v>105351.5</v>
      </c>
      <c r="D79" s="351"/>
    </row>
    <row r="80" spans="1:4" ht="23.25">
      <c r="A80" s="185" t="s">
        <v>384</v>
      </c>
      <c r="B80" s="349"/>
      <c r="C80" s="350">
        <v>2237521.57</v>
      </c>
      <c r="D80" s="351"/>
    </row>
    <row r="81" spans="1:4" ht="23.25">
      <c r="A81" s="185" t="s">
        <v>386</v>
      </c>
      <c r="B81" s="349"/>
      <c r="C81" s="350">
        <f>148001+7006</f>
        <v>155007</v>
      </c>
      <c r="D81" s="351"/>
    </row>
    <row r="82" spans="1:4" ht="23.25">
      <c r="A82" s="185" t="s">
        <v>385</v>
      </c>
      <c r="B82" s="349"/>
      <c r="C82" s="350">
        <v>14893.1</v>
      </c>
      <c r="D82" s="351"/>
    </row>
    <row r="83" spans="1:4" ht="23.25">
      <c r="A83" s="185" t="s">
        <v>39</v>
      </c>
      <c r="B83" s="188"/>
      <c r="C83" s="350">
        <v>229193.5</v>
      </c>
      <c r="D83" s="351"/>
    </row>
    <row r="84" spans="1:4" ht="23.25">
      <c r="A84" s="439" t="s">
        <v>114</v>
      </c>
      <c r="B84" s="188"/>
      <c r="C84" s="350"/>
      <c r="D84" s="351">
        <v>2302976.39</v>
      </c>
    </row>
    <row r="85" spans="1:4" ht="23.25">
      <c r="A85" s="439" t="s">
        <v>409</v>
      </c>
      <c r="B85" s="188"/>
      <c r="C85" s="350"/>
      <c r="D85" s="351">
        <v>2500</v>
      </c>
    </row>
    <row r="86" spans="1:4" ht="23.25">
      <c r="A86" s="439" t="s">
        <v>416</v>
      </c>
      <c r="B86" s="188"/>
      <c r="C86" s="350"/>
      <c r="D86" s="351">
        <v>5500</v>
      </c>
    </row>
    <row r="87" spans="1:4" ht="23.25">
      <c r="A87" s="439" t="s">
        <v>39</v>
      </c>
      <c r="B87" s="188"/>
      <c r="C87" s="350"/>
      <c r="D87" s="351">
        <f>253352.5+7006</f>
        <v>260358.5</v>
      </c>
    </row>
    <row r="88" spans="1:4" ht="23.25">
      <c r="A88" s="439" t="s">
        <v>365</v>
      </c>
      <c r="B88" s="188"/>
      <c r="C88" s="350"/>
      <c r="D88" s="351">
        <v>84</v>
      </c>
    </row>
    <row r="89" spans="1:4" ht="23.25">
      <c r="A89" s="439" t="s">
        <v>417</v>
      </c>
      <c r="B89" s="188"/>
      <c r="C89" s="350"/>
      <c r="D89" s="351">
        <v>767</v>
      </c>
    </row>
    <row r="90" spans="1:4" ht="23.25">
      <c r="A90" s="439" t="s">
        <v>408</v>
      </c>
      <c r="B90" s="188"/>
      <c r="C90" s="350"/>
      <c r="D90" s="351">
        <v>9208.28</v>
      </c>
    </row>
    <row r="91" spans="1:4" ht="23.25">
      <c r="A91" s="439" t="s">
        <v>366</v>
      </c>
      <c r="B91" s="188"/>
      <c r="C91" s="350"/>
      <c r="D91" s="351">
        <v>565.5</v>
      </c>
    </row>
    <row r="92" spans="1:4" ht="23.25">
      <c r="A92" s="439" t="s">
        <v>424</v>
      </c>
      <c r="B92" s="188"/>
      <c r="C92" s="350"/>
      <c r="D92" s="351">
        <v>160007</v>
      </c>
    </row>
    <row r="93" spans="1:4" ht="23.25">
      <c r="A93" s="439"/>
      <c r="B93" s="188"/>
      <c r="C93" s="350"/>
      <c r="D93" s="351"/>
    </row>
    <row r="94" spans="1:4" ht="23.25">
      <c r="A94" s="185"/>
      <c r="B94" s="188"/>
      <c r="C94" s="351"/>
      <c r="D94" s="480"/>
    </row>
    <row r="95" spans="1:4" ht="23.25">
      <c r="A95" s="354" t="s">
        <v>418</v>
      </c>
      <c r="B95" s="355"/>
      <c r="C95" s="355"/>
      <c r="D95" s="356"/>
    </row>
    <row r="96" spans="1:4" ht="20.25">
      <c r="A96" s="484"/>
      <c r="B96" s="485"/>
      <c r="C96" s="485"/>
      <c r="D96" s="486"/>
    </row>
    <row r="97" spans="1:4" ht="23.25">
      <c r="A97" s="200" t="s">
        <v>426</v>
      </c>
      <c r="B97" s="48"/>
      <c r="C97" s="48"/>
      <c r="D97" s="426"/>
    </row>
    <row r="98" spans="1:4" ht="23.25">
      <c r="A98" s="200"/>
      <c r="B98" s="48"/>
      <c r="C98" s="48"/>
      <c r="D98" s="426"/>
    </row>
    <row r="99" spans="1:4" ht="23.25">
      <c r="A99" s="200"/>
      <c r="B99" s="48"/>
      <c r="C99" s="48"/>
      <c r="D99" s="426"/>
    </row>
    <row r="100" spans="1:4" ht="23.25">
      <c r="A100" s="200"/>
      <c r="B100" s="48"/>
      <c r="C100" s="48"/>
      <c r="D100" s="426"/>
    </row>
    <row r="101" spans="1:4" ht="23.25">
      <c r="A101" s="200"/>
      <c r="B101" s="48"/>
      <c r="C101" s="48"/>
      <c r="D101" s="426"/>
    </row>
    <row r="102" spans="1:4" ht="23.25">
      <c r="A102" s="200"/>
      <c r="B102" s="48"/>
      <c r="C102" s="48"/>
      <c r="D102" s="364"/>
    </row>
    <row r="103" spans="1:4" ht="23.25">
      <c r="A103" s="365"/>
      <c r="B103" s="366"/>
      <c r="C103" s="366"/>
      <c r="D103" s="367"/>
    </row>
    <row r="104" spans="1:4" ht="23.25">
      <c r="A104" s="355"/>
      <c r="B104" s="355"/>
      <c r="C104" s="355"/>
      <c r="D104" s="355"/>
    </row>
    <row r="105" spans="1:4" ht="23.25">
      <c r="A105" s="48"/>
      <c r="B105" s="48"/>
      <c r="C105" s="48"/>
      <c r="D105" s="490"/>
    </row>
    <row r="106" spans="1:4" ht="23.25">
      <c r="A106" s="48"/>
      <c r="B106" s="48"/>
      <c r="C106" s="48"/>
      <c r="D106" s="48"/>
    </row>
    <row r="108" spans="1:4" ht="23.25">
      <c r="A108" s="676" t="s">
        <v>415</v>
      </c>
      <c r="B108" s="676"/>
      <c r="C108" s="676"/>
      <c r="D108" s="676"/>
    </row>
    <row r="109" spans="1:4" ht="23.25">
      <c r="A109" s="676" t="s">
        <v>414</v>
      </c>
      <c r="B109" s="676"/>
      <c r="C109" s="676"/>
      <c r="D109" s="676"/>
    </row>
    <row r="110" spans="1:4" ht="23.25">
      <c r="A110" s="677" t="s">
        <v>382</v>
      </c>
      <c r="B110" s="677"/>
      <c r="C110" s="677"/>
      <c r="D110" s="677"/>
    </row>
    <row r="111" spans="1:4" ht="23.25">
      <c r="A111" s="345" t="s">
        <v>314</v>
      </c>
      <c r="B111" s="345"/>
      <c r="C111" s="345"/>
      <c r="D111" s="345"/>
    </row>
    <row r="112" spans="1:4" ht="23.25">
      <c r="A112" s="347" t="s">
        <v>36</v>
      </c>
      <c r="B112" s="348" t="s">
        <v>35</v>
      </c>
      <c r="C112" s="348" t="s">
        <v>315</v>
      </c>
      <c r="D112" s="348" t="s">
        <v>38</v>
      </c>
    </row>
    <row r="113" spans="1:4" ht="23.25">
      <c r="A113" s="185" t="s">
        <v>383</v>
      </c>
      <c r="B113" s="349"/>
      <c r="C113" s="350">
        <v>340609</v>
      </c>
      <c r="D113" s="351"/>
    </row>
    <row r="114" spans="1:4" ht="23.25">
      <c r="A114" s="185" t="s">
        <v>384</v>
      </c>
      <c r="B114" s="349"/>
      <c r="C114" s="350">
        <v>2098838.59</v>
      </c>
      <c r="D114" s="351"/>
    </row>
    <row r="115" spans="1:4" ht="23.25">
      <c r="A115" s="185" t="s">
        <v>386</v>
      </c>
      <c r="B115" s="349"/>
      <c r="C115" s="350">
        <v>15022</v>
      </c>
      <c r="D115" s="351"/>
    </row>
    <row r="116" spans="1:4" ht="23.25">
      <c r="A116" s="185" t="s">
        <v>420</v>
      </c>
      <c r="B116" s="349"/>
      <c r="C116" s="350">
        <v>426.54</v>
      </c>
      <c r="D116" s="351"/>
    </row>
    <row r="117" spans="1:4" ht="23.25">
      <c r="A117" s="185" t="s">
        <v>403</v>
      </c>
      <c r="B117" s="349"/>
      <c r="C117" s="350">
        <v>700</v>
      </c>
      <c r="D117" s="351"/>
    </row>
    <row r="118" spans="1:4" ht="23.25">
      <c r="A118" s="185" t="s">
        <v>39</v>
      </c>
      <c r="B118" s="188"/>
      <c r="C118" s="350">
        <v>381422</v>
      </c>
      <c r="D118" s="351"/>
    </row>
    <row r="119" spans="1:4" ht="23.25">
      <c r="A119" s="439" t="s">
        <v>114</v>
      </c>
      <c r="B119" s="188"/>
      <c r="C119" s="350"/>
      <c r="D119" s="351">
        <v>938376.87</v>
      </c>
    </row>
    <row r="120" spans="1:4" ht="23.25">
      <c r="A120" s="439" t="s">
        <v>404</v>
      </c>
      <c r="B120" s="188"/>
      <c r="C120" s="350"/>
      <c r="D120" s="351">
        <v>1484000</v>
      </c>
    </row>
    <row r="121" spans="1:4" ht="23.25">
      <c r="A121" s="439" t="s">
        <v>421</v>
      </c>
      <c r="B121" s="188"/>
      <c r="C121" s="350"/>
      <c r="D121" s="351"/>
    </row>
    <row r="122" spans="1:4" ht="23.25">
      <c r="A122" s="439" t="s">
        <v>416</v>
      </c>
      <c r="B122" s="188"/>
      <c r="C122" s="350"/>
      <c r="D122" s="351">
        <v>80</v>
      </c>
    </row>
    <row r="123" spans="1:4" ht="23.25">
      <c r="A123" s="439" t="s">
        <v>422</v>
      </c>
      <c r="B123" s="188"/>
      <c r="C123" s="350"/>
      <c r="D123" s="351">
        <v>1500</v>
      </c>
    </row>
    <row r="124" spans="1:4" ht="23.25">
      <c r="A124" s="439" t="s">
        <v>39</v>
      </c>
      <c r="B124" s="188"/>
      <c r="C124" s="350"/>
      <c r="D124" s="351">
        <v>356331</v>
      </c>
    </row>
    <row r="125" spans="1:4" ht="23.25">
      <c r="A125" s="439" t="s">
        <v>387</v>
      </c>
      <c r="B125" s="188"/>
      <c r="C125" s="350"/>
      <c r="D125" s="351">
        <v>2668.3</v>
      </c>
    </row>
    <row r="126" spans="1:4" ht="23.25">
      <c r="A126" s="439" t="s">
        <v>388</v>
      </c>
      <c r="B126" s="188"/>
      <c r="C126" s="350"/>
      <c r="D126" s="351">
        <v>3201.96</v>
      </c>
    </row>
    <row r="127" spans="1:4" ht="23.25">
      <c r="A127" s="439" t="s">
        <v>390</v>
      </c>
      <c r="B127" s="188"/>
      <c r="C127" s="350"/>
      <c r="D127" s="351">
        <v>10022</v>
      </c>
    </row>
    <row r="128" spans="1:4" ht="23.25">
      <c r="A128" s="439" t="s">
        <v>366</v>
      </c>
      <c r="B128" s="188"/>
      <c r="C128" s="350"/>
      <c r="D128" s="351">
        <v>153</v>
      </c>
    </row>
    <row r="129" spans="1:4" ht="23.25">
      <c r="A129" s="439" t="s">
        <v>389</v>
      </c>
      <c r="B129" s="188"/>
      <c r="C129" s="350"/>
      <c r="D129" s="351">
        <v>31800</v>
      </c>
    </row>
    <row r="130" spans="1:4" ht="23.25">
      <c r="A130" s="439" t="s">
        <v>423</v>
      </c>
      <c r="B130" s="188"/>
      <c r="C130" s="350"/>
      <c r="D130" s="351">
        <v>8885</v>
      </c>
    </row>
    <row r="131" spans="1:4" ht="23.25">
      <c r="A131" s="185"/>
      <c r="B131" s="188"/>
      <c r="C131" s="483">
        <f>SUM(C113:C118)</f>
        <v>2837018.13</v>
      </c>
      <c r="D131" s="491">
        <f>SUM(D119:D130)</f>
        <v>2837018.13</v>
      </c>
    </row>
    <row r="132" spans="1:4" ht="23.25">
      <c r="A132" s="354" t="s">
        <v>425</v>
      </c>
      <c r="B132" s="355"/>
      <c r="C132" s="355"/>
      <c r="D132" s="356"/>
    </row>
    <row r="133" spans="1:4" ht="20.25">
      <c r="A133" s="484"/>
      <c r="B133" s="485"/>
      <c r="C133" s="485"/>
      <c r="D133" s="486"/>
    </row>
    <row r="134" spans="1:4" ht="23.25">
      <c r="A134" s="200" t="s">
        <v>426</v>
      </c>
      <c r="B134" s="48"/>
      <c r="C134" s="48"/>
      <c r="D134" s="426"/>
    </row>
    <row r="135" spans="1:4" ht="23.25">
      <c r="A135" s="200"/>
      <c r="B135" s="48"/>
      <c r="C135" s="48"/>
      <c r="D135" s="426"/>
    </row>
    <row r="136" spans="1:4" ht="23.25">
      <c r="A136" s="200"/>
      <c r="B136" s="48"/>
      <c r="C136" s="48"/>
      <c r="D136" s="426"/>
    </row>
    <row r="137" spans="1:4" ht="23.25">
      <c r="A137" s="200"/>
      <c r="B137" s="48"/>
      <c r="C137" s="48"/>
      <c r="D137" s="426"/>
    </row>
    <row r="138" spans="1:4" ht="23.25">
      <c r="A138" s="200"/>
      <c r="B138" s="48"/>
      <c r="C138" s="48"/>
      <c r="D138" s="426"/>
    </row>
    <row r="139" spans="1:4" ht="23.25">
      <c r="A139" s="200"/>
      <c r="B139" s="48"/>
      <c r="C139" s="48"/>
      <c r="D139" s="364"/>
    </row>
    <row r="140" spans="1:4" ht="23.25">
      <c r="A140" s="365"/>
      <c r="B140" s="366"/>
      <c r="C140" s="366"/>
      <c r="D140" s="367"/>
    </row>
  </sheetData>
  <sheetProtection/>
  <mergeCells count="12">
    <mergeCell ref="A74:D74"/>
    <mergeCell ref="A75:D75"/>
    <mergeCell ref="A76:D76"/>
    <mergeCell ref="A108:D108"/>
    <mergeCell ref="A109:D109"/>
    <mergeCell ref="A110:D110"/>
    <mergeCell ref="A1:D1"/>
    <mergeCell ref="A2:D2"/>
    <mergeCell ref="A3:D3"/>
    <mergeCell ref="A40:D40"/>
    <mergeCell ref="A41:D41"/>
    <mergeCell ref="A42:D42"/>
  </mergeCells>
  <printOptions/>
  <pageMargins left="0.71" right="0.2755905511811024" top="0.7480314960629921" bottom="0.7480314960629921" header="0.31496062992125984" footer="0.31496062992125984"/>
  <pageSetup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E184"/>
  <sheetViews>
    <sheetView zoomScaleSheetLayoutView="100" zoomScalePageLayoutView="0" workbookViewId="0" topLeftCell="A1">
      <selection activeCell="F4" sqref="F4"/>
    </sheetView>
  </sheetViews>
  <sheetFormatPr defaultColWidth="9.140625" defaultRowHeight="21.75"/>
  <cols>
    <col min="1" max="1" width="75.28125" style="346" customWidth="1"/>
    <col min="2" max="2" width="11.421875" style="346" customWidth="1"/>
    <col min="3" max="3" width="16.7109375" style="346" customWidth="1"/>
    <col min="4" max="4" width="16.421875" style="346" customWidth="1"/>
    <col min="5" max="5" width="29.421875" style="346" bestFit="1" customWidth="1"/>
    <col min="6" max="7" width="20.421875" style="346" bestFit="1" customWidth="1"/>
    <col min="8" max="16384" width="9.140625" style="346" customWidth="1"/>
  </cols>
  <sheetData>
    <row r="1" spans="1:4" ht="23.25">
      <c r="A1" s="676" t="s">
        <v>651</v>
      </c>
      <c r="B1" s="676"/>
      <c r="C1" s="676"/>
      <c r="D1" s="676"/>
    </row>
    <row r="2" spans="1:4" ht="23.25">
      <c r="A2" s="676" t="s">
        <v>592</v>
      </c>
      <c r="B2" s="676"/>
      <c r="C2" s="676"/>
      <c r="D2" s="676"/>
    </row>
    <row r="3" spans="1:4" ht="23.25">
      <c r="A3" s="677" t="s">
        <v>313</v>
      </c>
      <c r="B3" s="677"/>
      <c r="C3" s="677"/>
      <c r="D3" s="677"/>
    </row>
    <row r="4" spans="1:4" ht="23.25">
      <c r="A4" s="345" t="s">
        <v>491</v>
      </c>
      <c r="B4" s="345"/>
      <c r="C4" s="345"/>
      <c r="D4" s="345"/>
    </row>
    <row r="5" spans="1:4" ht="23.25">
      <c r="A5" s="347" t="s">
        <v>36</v>
      </c>
      <c r="B5" s="348" t="s">
        <v>35</v>
      </c>
      <c r="C5" s="348" t="s">
        <v>315</v>
      </c>
      <c r="D5" s="348" t="s">
        <v>38</v>
      </c>
    </row>
    <row r="6" spans="1:5" ht="23.25">
      <c r="A6" s="185" t="s">
        <v>48</v>
      </c>
      <c r="B6" s="349" t="s">
        <v>325</v>
      </c>
      <c r="C6" s="350">
        <v>25117.32</v>
      </c>
      <c r="D6" s="351"/>
      <c r="E6" s="368"/>
    </row>
    <row r="7" spans="1:4" ht="23.25">
      <c r="A7" s="185" t="s">
        <v>42</v>
      </c>
      <c r="B7" s="349" t="s">
        <v>327</v>
      </c>
      <c r="C7" s="350">
        <v>588975</v>
      </c>
      <c r="D7" s="351"/>
    </row>
    <row r="8" spans="1:4" ht="23.25">
      <c r="A8" s="185" t="s">
        <v>332</v>
      </c>
      <c r="B8" s="349" t="s">
        <v>340</v>
      </c>
      <c r="C8" s="350">
        <v>127660</v>
      </c>
      <c r="D8" s="351"/>
    </row>
    <row r="9" spans="1:4" ht="23.25">
      <c r="A9" s="185" t="s">
        <v>332</v>
      </c>
      <c r="B9" s="349" t="s">
        <v>436</v>
      </c>
      <c r="C9" s="350">
        <v>900</v>
      </c>
      <c r="D9" s="351"/>
    </row>
    <row r="10" spans="1:4" ht="23.25">
      <c r="A10" s="185" t="s">
        <v>43</v>
      </c>
      <c r="B10" s="188">
        <v>6200</v>
      </c>
      <c r="C10" s="350">
        <v>23311</v>
      </c>
      <c r="D10" s="351"/>
    </row>
    <row r="11" spans="1:4" ht="23.25">
      <c r="A11" s="185" t="s">
        <v>44</v>
      </c>
      <c r="B11" s="188">
        <v>5250</v>
      </c>
      <c r="C11" s="350">
        <v>85591.02</v>
      </c>
      <c r="D11" s="351"/>
    </row>
    <row r="12" spans="1:4" ht="23.25">
      <c r="A12" s="185" t="s">
        <v>44</v>
      </c>
      <c r="B12" s="188">
        <v>6250</v>
      </c>
      <c r="C12" s="350">
        <v>227287.25</v>
      </c>
      <c r="D12" s="351"/>
    </row>
    <row r="13" spans="1:4" ht="23.25">
      <c r="A13" s="185" t="s">
        <v>45</v>
      </c>
      <c r="B13" s="188">
        <v>5270</v>
      </c>
      <c r="C13" s="350">
        <v>62578.63</v>
      </c>
      <c r="D13" s="351"/>
    </row>
    <row r="14" spans="1:4" ht="23.25">
      <c r="A14" s="185" t="s">
        <v>45</v>
      </c>
      <c r="B14" s="188">
        <v>6270</v>
      </c>
      <c r="C14" s="350">
        <v>136804.97</v>
      </c>
      <c r="D14" s="351"/>
    </row>
    <row r="15" spans="1:4" ht="23.25">
      <c r="A15" s="185" t="s">
        <v>46</v>
      </c>
      <c r="B15" s="188">
        <v>5300</v>
      </c>
      <c r="C15" s="350">
        <v>9118.54</v>
      </c>
      <c r="D15" s="351"/>
    </row>
    <row r="16" spans="1:4" ht="23.25">
      <c r="A16" s="185" t="s">
        <v>46</v>
      </c>
      <c r="B16" s="188">
        <v>6300</v>
      </c>
      <c r="C16" s="350">
        <v>28871.65</v>
      </c>
      <c r="D16" s="351"/>
    </row>
    <row r="17" spans="1:4" ht="23.25">
      <c r="A17" s="185" t="s">
        <v>79</v>
      </c>
      <c r="B17" s="188">
        <v>5450</v>
      </c>
      <c r="C17" s="350">
        <v>16050</v>
      </c>
      <c r="D17" s="351"/>
    </row>
    <row r="18" spans="1:4" ht="23.25">
      <c r="A18" s="185" t="s">
        <v>79</v>
      </c>
      <c r="B18" s="188">
        <v>6450</v>
      </c>
      <c r="C18" s="350">
        <v>113850</v>
      </c>
      <c r="D18" s="351"/>
    </row>
    <row r="19" spans="1:4" ht="23.25">
      <c r="A19" s="185" t="s">
        <v>47</v>
      </c>
      <c r="B19" s="188">
        <v>6400</v>
      </c>
      <c r="C19" s="350">
        <v>65000</v>
      </c>
      <c r="D19" s="351"/>
    </row>
    <row r="20" spans="1:4" ht="23.25">
      <c r="A20" s="185" t="s">
        <v>316</v>
      </c>
      <c r="B20" s="349" t="s">
        <v>57</v>
      </c>
      <c r="C20" s="350">
        <v>131376</v>
      </c>
      <c r="D20" s="351"/>
    </row>
    <row r="21" spans="1:4" ht="23.25">
      <c r="A21" s="185" t="s">
        <v>337</v>
      </c>
      <c r="B21" s="349" t="s">
        <v>329</v>
      </c>
      <c r="C21" s="350">
        <v>824940</v>
      </c>
      <c r="D21" s="351"/>
    </row>
    <row r="22" spans="1:4" ht="23.25">
      <c r="A22" s="185" t="s">
        <v>526</v>
      </c>
      <c r="B22" s="349"/>
      <c r="C22" s="350">
        <v>9208.28</v>
      </c>
      <c r="D22" s="351"/>
    </row>
    <row r="23" spans="1:4" ht="23.25">
      <c r="A23" s="185" t="s">
        <v>558</v>
      </c>
      <c r="B23" s="349"/>
      <c r="C23" s="350">
        <v>1080</v>
      </c>
      <c r="D23" s="351"/>
    </row>
    <row r="24" spans="1:5" ht="23.25">
      <c r="A24" s="202" t="s">
        <v>549</v>
      </c>
      <c r="B24" s="349"/>
      <c r="C24" s="350">
        <v>4236000</v>
      </c>
      <c r="D24" s="351"/>
      <c r="E24" s="479"/>
    </row>
    <row r="25" spans="1:5" ht="23.25">
      <c r="A25" s="202" t="s">
        <v>652</v>
      </c>
      <c r="B25" s="349"/>
      <c r="C25" s="350">
        <v>10000</v>
      </c>
      <c r="D25" s="351"/>
      <c r="E25" s="479"/>
    </row>
    <row r="26" spans="1:5" ht="23.25">
      <c r="A26" s="202" t="s">
        <v>537</v>
      </c>
      <c r="B26" s="349"/>
      <c r="C26" s="350">
        <v>3830</v>
      </c>
      <c r="D26" s="351"/>
      <c r="E26" s="479"/>
    </row>
    <row r="27" spans="1:5" ht="23.25">
      <c r="A27" s="202" t="s">
        <v>319</v>
      </c>
      <c r="B27" s="349"/>
      <c r="C27" s="350">
        <v>7550</v>
      </c>
      <c r="D27" s="351"/>
      <c r="E27" s="464"/>
    </row>
    <row r="28" spans="1:4" ht="23.25">
      <c r="A28" s="185" t="s">
        <v>317</v>
      </c>
      <c r="B28" s="188"/>
      <c r="C28" s="350">
        <v>92600</v>
      </c>
      <c r="D28" s="351"/>
    </row>
    <row r="29" spans="1:4" ht="23.25">
      <c r="A29" s="185" t="s">
        <v>1</v>
      </c>
      <c r="B29" s="188"/>
      <c r="C29" s="350">
        <v>61878</v>
      </c>
      <c r="D29" s="351"/>
    </row>
    <row r="30" spans="1:4" ht="23.25">
      <c r="A30" s="185" t="s">
        <v>321</v>
      </c>
      <c r="B30" s="188"/>
      <c r="C30" s="350">
        <v>46400</v>
      </c>
      <c r="D30" s="351"/>
    </row>
    <row r="31" spans="1:4" ht="23.25">
      <c r="A31" s="185" t="s">
        <v>318</v>
      </c>
      <c r="B31" s="188"/>
      <c r="C31" s="350">
        <v>30600</v>
      </c>
      <c r="D31" s="351"/>
    </row>
    <row r="32" spans="1:4" ht="23.25">
      <c r="A32" s="185" t="s">
        <v>333</v>
      </c>
      <c r="B32" s="188"/>
      <c r="C32" s="351">
        <v>9011.94</v>
      </c>
      <c r="D32" s="351"/>
    </row>
    <row r="33" spans="1:4" ht="23.25">
      <c r="A33" s="352" t="s">
        <v>341</v>
      </c>
      <c r="B33" s="349"/>
      <c r="C33" s="351"/>
      <c r="D33" s="411">
        <v>6688776.18</v>
      </c>
    </row>
    <row r="34" spans="1:4" ht="23.25">
      <c r="A34" s="352" t="s">
        <v>333</v>
      </c>
      <c r="B34" s="188"/>
      <c r="C34" s="351"/>
      <c r="D34" s="411">
        <v>8196.64</v>
      </c>
    </row>
    <row r="35" spans="1:4" ht="23.25">
      <c r="A35" s="352" t="s">
        <v>653</v>
      </c>
      <c r="B35" s="188"/>
      <c r="C35" s="351"/>
      <c r="D35" s="411">
        <v>39588.78</v>
      </c>
    </row>
    <row r="36" spans="1:4" ht="22.5" customHeight="1">
      <c r="A36" s="352" t="s">
        <v>319</v>
      </c>
      <c r="B36" s="188"/>
      <c r="C36" s="351"/>
      <c r="D36" s="411">
        <v>7550</v>
      </c>
    </row>
    <row r="37" spans="1:4" ht="23.25">
      <c r="A37" s="352" t="s">
        <v>1</v>
      </c>
      <c r="B37" s="188"/>
      <c r="C37" s="353">
        <f>SUM(C6:C36)</f>
        <v>6975589.600000001</v>
      </c>
      <c r="D37" s="411">
        <v>61878</v>
      </c>
    </row>
    <row r="38" spans="1:4" ht="23.25">
      <c r="A38" s="352" t="s">
        <v>321</v>
      </c>
      <c r="B38" s="188"/>
      <c r="C38" s="353"/>
      <c r="D38" s="411">
        <v>46400</v>
      </c>
    </row>
    <row r="39" spans="1:4" ht="23.25">
      <c r="A39" s="352" t="s">
        <v>318</v>
      </c>
      <c r="B39" s="188"/>
      <c r="C39" s="353"/>
      <c r="D39" s="411">
        <v>30600</v>
      </c>
    </row>
    <row r="40" spans="1:4" ht="23.25">
      <c r="A40" s="352" t="s">
        <v>317</v>
      </c>
      <c r="B40" s="188"/>
      <c r="C40" s="351"/>
      <c r="D40" s="411">
        <v>92600</v>
      </c>
    </row>
    <row r="41" spans="1:5" ht="23.25">
      <c r="A41" s="185"/>
      <c r="B41" s="188"/>
      <c r="C41" s="351">
        <f>SUM(C6:C33)</f>
        <v>6975589.600000001</v>
      </c>
      <c r="D41" s="480">
        <f>SUM(D33:D40)</f>
        <v>6975589.6</v>
      </c>
      <c r="E41" s="498">
        <f>D41-C41</f>
        <v>0</v>
      </c>
    </row>
    <row r="42" spans="1:5" ht="23.25">
      <c r="A42" s="354" t="s">
        <v>654</v>
      </c>
      <c r="B42" s="355"/>
      <c r="C42" s="355"/>
      <c r="D42" s="356"/>
      <c r="E42" s="479"/>
    </row>
    <row r="43" spans="1:4" ht="20.25">
      <c r="A43" s="359"/>
      <c r="C43" s="360"/>
      <c r="D43" s="361"/>
    </row>
    <row r="44" spans="1:4" ht="23.25">
      <c r="A44" s="362" t="s">
        <v>320</v>
      </c>
      <c r="B44" s="355"/>
      <c r="C44" s="355"/>
      <c r="D44" s="363"/>
    </row>
    <row r="45" spans="1:4" ht="23.25">
      <c r="A45" s="200"/>
      <c r="B45" s="48"/>
      <c r="C45" s="48"/>
      <c r="D45" s="364"/>
    </row>
    <row r="46" spans="1:4" ht="23.25">
      <c r="A46" s="365"/>
      <c r="B46" s="366"/>
      <c r="C46" s="366"/>
      <c r="D46" s="367"/>
    </row>
    <row r="50" spans="1:4" ht="23.25">
      <c r="A50" s="676" t="s">
        <v>430</v>
      </c>
      <c r="B50" s="676"/>
      <c r="C50" s="676"/>
      <c r="D50" s="676"/>
    </row>
    <row r="51" spans="1:4" ht="23.25">
      <c r="A51" s="676" t="s">
        <v>429</v>
      </c>
      <c r="B51" s="676"/>
      <c r="C51" s="676"/>
      <c r="D51" s="676"/>
    </row>
    <row r="52" spans="1:4" ht="23.25">
      <c r="A52" s="677" t="s">
        <v>313</v>
      </c>
      <c r="B52" s="677"/>
      <c r="C52" s="677"/>
      <c r="D52" s="677"/>
    </row>
    <row r="53" spans="1:4" ht="23.25">
      <c r="A53" s="345" t="s">
        <v>314</v>
      </c>
      <c r="B53" s="345"/>
      <c r="C53" s="345"/>
      <c r="D53" s="345"/>
    </row>
    <row r="54" spans="1:4" ht="23.25">
      <c r="A54" s="347" t="s">
        <v>36</v>
      </c>
      <c r="B54" s="348" t="s">
        <v>35</v>
      </c>
      <c r="C54" s="348" t="s">
        <v>315</v>
      </c>
      <c r="D54" s="348" t="s">
        <v>38</v>
      </c>
    </row>
    <row r="55" spans="1:4" ht="23.25">
      <c r="A55" s="185" t="s">
        <v>48</v>
      </c>
      <c r="B55" s="349" t="s">
        <v>325</v>
      </c>
      <c r="C55" s="350">
        <v>41291.92</v>
      </c>
      <c r="D55" s="351"/>
    </row>
    <row r="56" spans="1:4" ht="23.25">
      <c r="A56" s="185" t="s">
        <v>48</v>
      </c>
      <c r="B56" s="349"/>
      <c r="C56" s="350">
        <v>110000</v>
      </c>
      <c r="D56" s="351"/>
    </row>
    <row r="57" spans="1:4" ht="23.25">
      <c r="A57" s="185" t="s">
        <v>42</v>
      </c>
      <c r="B57" s="349" t="s">
        <v>327</v>
      </c>
      <c r="C57" s="350">
        <v>623698.58</v>
      </c>
      <c r="D57" s="351"/>
    </row>
    <row r="58" spans="1:4" ht="23.25">
      <c r="A58" s="185" t="s">
        <v>332</v>
      </c>
      <c r="B58" s="349" t="s">
        <v>340</v>
      </c>
      <c r="C58" s="350">
        <v>108470</v>
      </c>
      <c r="D58" s="351"/>
    </row>
    <row r="59" spans="1:4" ht="23.25">
      <c r="A59" s="185" t="s">
        <v>332</v>
      </c>
      <c r="B59" s="349" t="s">
        <v>436</v>
      </c>
      <c r="C59" s="350">
        <v>3768.39</v>
      </c>
      <c r="D59" s="351"/>
    </row>
    <row r="60" spans="1:4" ht="23.25">
      <c r="A60" s="185" t="s">
        <v>43</v>
      </c>
      <c r="B60" s="188">
        <v>6200</v>
      </c>
      <c r="C60" s="350">
        <v>26284</v>
      </c>
      <c r="D60" s="351"/>
    </row>
    <row r="61" spans="1:4" ht="23.25">
      <c r="A61" s="185" t="s">
        <v>44</v>
      </c>
      <c r="B61" s="188">
        <v>5250</v>
      </c>
      <c r="C61" s="350">
        <v>170718.25</v>
      </c>
      <c r="D61" s="351"/>
    </row>
    <row r="62" spans="1:4" ht="23.25">
      <c r="A62" s="185" t="s">
        <v>44</v>
      </c>
      <c r="B62" s="188"/>
      <c r="C62" s="350">
        <v>3600</v>
      </c>
      <c r="D62" s="351"/>
    </row>
    <row r="63" spans="1:4" ht="23.25">
      <c r="A63" s="185" t="s">
        <v>45</v>
      </c>
      <c r="B63" s="188">
        <v>5270</v>
      </c>
      <c r="C63" s="350">
        <v>18750.88</v>
      </c>
      <c r="D63" s="351"/>
    </row>
    <row r="64" spans="1:4" ht="23.25">
      <c r="A64" s="185" t="s">
        <v>46</v>
      </c>
      <c r="B64" s="188">
        <v>5300</v>
      </c>
      <c r="C64" s="350">
        <v>24712.1</v>
      </c>
      <c r="D64" s="351"/>
    </row>
    <row r="65" spans="1:4" ht="23.25">
      <c r="A65" s="185" t="s">
        <v>47</v>
      </c>
      <c r="B65" s="188">
        <v>6450</v>
      </c>
      <c r="C65" s="350">
        <v>418955</v>
      </c>
      <c r="D65" s="351"/>
    </row>
    <row r="66" spans="1:4" ht="23.25">
      <c r="A66" s="185" t="s">
        <v>316</v>
      </c>
      <c r="B66" s="349" t="s">
        <v>57</v>
      </c>
      <c r="C66" s="350">
        <v>113720</v>
      </c>
      <c r="D66" s="351"/>
    </row>
    <row r="67" spans="1:4" ht="23.25">
      <c r="A67" s="185" t="s">
        <v>337</v>
      </c>
      <c r="B67" s="349" t="s">
        <v>329</v>
      </c>
      <c r="C67" s="350">
        <v>647500</v>
      </c>
      <c r="D67" s="351"/>
    </row>
    <row r="68" spans="1:4" ht="23.25">
      <c r="A68" s="185" t="s">
        <v>55</v>
      </c>
      <c r="B68" s="349"/>
      <c r="C68" s="350">
        <v>159500</v>
      </c>
      <c r="D68" s="351"/>
    </row>
    <row r="69" spans="1:4" ht="23.25">
      <c r="A69" s="185" t="s">
        <v>373</v>
      </c>
      <c r="B69" s="349"/>
      <c r="C69" s="350">
        <v>242.8</v>
      </c>
      <c r="D69" s="351"/>
    </row>
    <row r="70" spans="1:4" ht="23.25">
      <c r="A70" s="185" t="s">
        <v>428</v>
      </c>
      <c r="B70" s="349"/>
      <c r="C70" s="350">
        <v>47707.61</v>
      </c>
      <c r="D70" s="351"/>
    </row>
    <row r="71" spans="1:4" ht="23.25">
      <c r="A71" s="185" t="s">
        <v>333</v>
      </c>
      <c r="B71" s="349"/>
      <c r="C71" s="350">
        <v>3927.94</v>
      </c>
      <c r="D71" s="351"/>
    </row>
    <row r="72" spans="1:4" ht="23.25">
      <c r="A72" s="185" t="s">
        <v>437</v>
      </c>
      <c r="B72" s="349"/>
      <c r="C72" s="350">
        <v>6067.5</v>
      </c>
      <c r="D72" s="351"/>
    </row>
    <row r="73" spans="1:4" ht="23.25">
      <c r="A73" s="185" t="s">
        <v>438</v>
      </c>
      <c r="B73" s="349"/>
      <c r="C73" s="350">
        <v>13580</v>
      </c>
      <c r="D73" s="351"/>
    </row>
    <row r="74" spans="1:4" ht="23.25">
      <c r="A74" s="185" t="s">
        <v>439</v>
      </c>
      <c r="B74" s="349"/>
      <c r="C74" s="350">
        <v>3350</v>
      </c>
      <c r="D74" s="351"/>
    </row>
    <row r="75" spans="1:4" ht="23.25">
      <c r="A75" s="185" t="s">
        <v>440</v>
      </c>
      <c r="B75" s="349"/>
      <c r="C75" s="350">
        <v>9208.28</v>
      </c>
      <c r="D75" s="351"/>
    </row>
    <row r="76" spans="1:4" ht="23.25">
      <c r="A76" s="202" t="s">
        <v>319</v>
      </c>
      <c r="B76" s="349"/>
      <c r="C76" s="350">
        <v>6200</v>
      </c>
      <c r="D76" s="351"/>
    </row>
    <row r="77" spans="1:4" ht="23.25">
      <c r="A77" s="185" t="s">
        <v>317</v>
      </c>
      <c r="B77" s="188"/>
      <c r="C77" s="350">
        <v>87600</v>
      </c>
      <c r="D77" s="351"/>
    </row>
    <row r="78" spans="1:4" ht="23.25">
      <c r="A78" s="185" t="s">
        <v>1</v>
      </c>
      <c r="B78" s="188"/>
      <c r="C78" s="350">
        <v>68700</v>
      </c>
      <c r="D78" s="351"/>
    </row>
    <row r="79" spans="1:4" ht="23.25">
      <c r="A79" s="185" t="s">
        <v>321</v>
      </c>
      <c r="B79" s="188"/>
      <c r="C79" s="350">
        <v>14800</v>
      </c>
      <c r="D79" s="351"/>
    </row>
    <row r="80" spans="1:4" ht="23.25">
      <c r="A80" s="185" t="s">
        <v>318</v>
      </c>
      <c r="B80" s="188"/>
      <c r="C80" s="350">
        <v>23800</v>
      </c>
      <c r="D80" s="351"/>
    </row>
    <row r="81" spans="1:4" ht="23.25">
      <c r="A81" s="352" t="s">
        <v>341</v>
      </c>
      <c r="B81" s="349"/>
      <c r="C81" s="351"/>
      <c r="D81" s="411">
        <v>2550585.73</v>
      </c>
    </row>
    <row r="82" spans="1:4" ht="23.25">
      <c r="A82" s="352" t="s">
        <v>333</v>
      </c>
      <c r="B82" s="188"/>
      <c r="C82" s="351"/>
      <c r="D82" s="411">
        <v>4467.52</v>
      </c>
    </row>
    <row r="83" spans="1:4" ht="23.25">
      <c r="A83" s="352" t="s">
        <v>319</v>
      </c>
      <c r="B83" s="188"/>
      <c r="C83" s="351"/>
      <c r="D83" s="411">
        <v>6200</v>
      </c>
    </row>
    <row r="84" spans="1:4" ht="23.25">
      <c r="A84" s="352" t="s">
        <v>1</v>
      </c>
      <c r="B84" s="188"/>
      <c r="C84" s="353">
        <f>SUM(C55:C83)</f>
        <v>2756153.2499999995</v>
      </c>
      <c r="D84" s="411">
        <v>68700</v>
      </c>
    </row>
    <row r="85" spans="1:4" ht="23.25">
      <c r="A85" s="352" t="s">
        <v>321</v>
      </c>
      <c r="B85" s="188"/>
      <c r="C85" s="353"/>
      <c r="D85" s="411">
        <v>14800</v>
      </c>
    </row>
    <row r="86" spans="1:4" ht="23.25">
      <c r="A86" s="352" t="s">
        <v>318</v>
      </c>
      <c r="B86" s="188"/>
      <c r="C86" s="353"/>
      <c r="D86" s="411">
        <v>23800</v>
      </c>
    </row>
    <row r="87" spans="1:4" ht="23.25">
      <c r="A87" s="352" t="s">
        <v>317</v>
      </c>
      <c r="B87" s="188"/>
      <c r="C87" s="351"/>
      <c r="D87" s="411">
        <v>87600</v>
      </c>
    </row>
    <row r="88" spans="1:5" ht="23.25">
      <c r="A88" s="185"/>
      <c r="B88" s="188"/>
      <c r="C88" s="483">
        <f>SUM(C55:C81)</f>
        <v>2756153.2499999995</v>
      </c>
      <c r="D88" s="491">
        <f>SUM(D81:D87)</f>
        <v>2756153.25</v>
      </c>
      <c r="E88" s="479"/>
    </row>
    <row r="89" spans="1:4" ht="23.25">
      <c r="A89" s="354" t="s">
        <v>441</v>
      </c>
      <c r="B89" s="355"/>
      <c r="C89" s="355"/>
      <c r="D89" s="356"/>
    </row>
    <row r="90" spans="1:4" ht="23.25">
      <c r="A90" s="357"/>
      <c r="B90" s="48"/>
      <c r="C90" s="425"/>
      <c r="D90" s="358"/>
    </row>
    <row r="91" spans="1:4" ht="20.25">
      <c r="A91" s="359"/>
      <c r="C91" s="360"/>
      <c r="D91" s="361"/>
    </row>
    <row r="92" spans="1:4" ht="23.25">
      <c r="A92" s="362" t="s">
        <v>320</v>
      </c>
      <c r="B92" s="355"/>
      <c r="C92" s="355"/>
      <c r="D92" s="363"/>
    </row>
    <row r="93" spans="1:4" ht="23.25">
      <c r="A93" s="200"/>
      <c r="B93" s="48"/>
      <c r="C93" s="48"/>
      <c r="D93" s="426"/>
    </row>
    <row r="94" spans="1:4" ht="23.25">
      <c r="A94" s="200"/>
      <c r="B94" s="48"/>
      <c r="C94" s="48"/>
      <c r="D94" s="426"/>
    </row>
    <row r="95" spans="1:4" ht="23.25">
      <c r="A95" s="676" t="s">
        <v>468</v>
      </c>
      <c r="B95" s="676"/>
      <c r="C95" s="676"/>
      <c r="D95" s="676"/>
    </row>
    <row r="96" spans="1:4" ht="23.25">
      <c r="A96" s="676" t="s">
        <v>469</v>
      </c>
      <c r="B96" s="676"/>
      <c r="C96" s="676"/>
      <c r="D96" s="676"/>
    </row>
    <row r="97" spans="1:4" ht="23.25">
      <c r="A97" s="677" t="s">
        <v>313</v>
      </c>
      <c r="B97" s="677"/>
      <c r="C97" s="677"/>
      <c r="D97" s="677"/>
    </row>
    <row r="98" spans="1:4" ht="23.25">
      <c r="A98" s="345" t="s">
        <v>314</v>
      </c>
      <c r="B98" s="345"/>
      <c r="C98" s="345"/>
      <c r="D98" s="345"/>
    </row>
    <row r="99" spans="1:4" ht="23.25">
      <c r="A99" s="347" t="s">
        <v>36</v>
      </c>
      <c r="B99" s="348" t="s">
        <v>35</v>
      </c>
      <c r="C99" s="348" t="s">
        <v>315</v>
      </c>
      <c r="D99" s="348" t="s">
        <v>38</v>
      </c>
    </row>
    <row r="100" spans="1:4" ht="23.25">
      <c r="A100" s="185" t="s">
        <v>48</v>
      </c>
      <c r="B100" s="349" t="s">
        <v>325</v>
      </c>
      <c r="C100" s="350">
        <v>31292.32</v>
      </c>
      <c r="D100" s="351"/>
    </row>
    <row r="101" spans="1:4" ht="23.25">
      <c r="A101" s="185" t="s">
        <v>42</v>
      </c>
      <c r="B101" s="349" t="s">
        <v>327</v>
      </c>
      <c r="C101" s="350">
        <v>580535</v>
      </c>
      <c r="D101" s="351"/>
    </row>
    <row r="102" spans="1:4" ht="23.25">
      <c r="A102" s="185" t="s">
        <v>332</v>
      </c>
      <c r="B102" s="349" t="s">
        <v>340</v>
      </c>
      <c r="C102" s="350">
        <v>108470</v>
      </c>
      <c r="D102" s="351"/>
    </row>
    <row r="103" spans="1:4" ht="23.25">
      <c r="A103" s="185" t="s">
        <v>332</v>
      </c>
      <c r="B103" s="349" t="s">
        <v>436</v>
      </c>
      <c r="C103" s="350">
        <v>2910</v>
      </c>
      <c r="D103" s="351"/>
    </row>
    <row r="104" spans="1:4" ht="23.25">
      <c r="A104" s="185" t="s">
        <v>43</v>
      </c>
      <c r="B104" s="188">
        <v>6200</v>
      </c>
      <c r="C104" s="350">
        <v>53180</v>
      </c>
      <c r="D104" s="351"/>
    </row>
    <row r="105" spans="1:4" ht="23.25">
      <c r="A105" s="185" t="s">
        <v>44</v>
      </c>
      <c r="B105" s="188">
        <v>5250</v>
      </c>
      <c r="C105" s="350">
        <v>282502.5</v>
      </c>
      <c r="D105" s="351"/>
    </row>
    <row r="106" spans="1:4" ht="23.25">
      <c r="A106" s="185" t="s">
        <v>44</v>
      </c>
      <c r="B106" s="188"/>
      <c r="C106" s="350">
        <v>58929.74</v>
      </c>
      <c r="D106" s="351"/>
    </row>
    <row r="107" spans="1:4" ht="23.25">
      <c r="A107" s="185" t="s">
        <v>45</v>
      </c>
      <c r="B107" s="188">
        <v>5270</v>
      </c>
      <c r="C107" s="350">
        <v>102403.42</v>
      </c>
      <c r="D107" s="351"/>
    </row>
    <row r="108" spans="1:4" ht="23.25">
      <c r="A108" s="185" t="s">
        <v>45</v>
      </c>
      <c r="B108" s="188"/>
      <c r="C108" s="350">
        <v>60540.48</v>
      </c>
      <c r="D108" s="351"/>
    </row>
    <row r="109" spans="1:4" ht="23.25">
      <c r="A109" s="185" t="s">
        <v>46</v>
      </c>
      <c r="B109" s="188">
        <v>5300</v>
      </c>
      <c r="C109" s="350">
        <v>21986.25</v>
      </c>
      <c r="D109" s="351"/>
    </row>
    <row r="110" spans="1:4" ht="23.25">
      <c r="A110" s="185" t="s">
        <v>47</v>
      </c>
      <c r="B110" s="188">
        <v>6450</v>
      </c>
      <c r="C110" s="350">
        <v>108000</v>
      </c>
      <c r="D110" s="351"/>
    </row>
    <row r="111" spans="1:4" ht="23.25">
      <c r="A111" s="185" t="s">
        <v>79</v>
      </c>
      <c r="B111" s="188"/>
      <c r="C111" s="350">
        <v>59000</v>
      </c>
      <c r="D111" s="351"/>
    </row>
    <row r="112" spans="1:4" ht="23.25">
      <c r="A112" s="185" t="s">
        <v>80</v>
      </c>
      <c r="B112" s="188"/>
      <c r="C112" s="350">
        <v>5100</v>
      </c>
      <c r="D112" s="351"/>
    </row>
    <row r="113" spans="1:4" ht="23.25">
      <c r="A113" s="185" t="s">
        <v>80</v>
      </c>
      <c r="B113" s="188"/>
      <c r="C113" s="350">
        <v>279000</v>
      </c>
      <c r="D113" s="351"/>
    </row>
    <row r="114" spans="1:4" ht="23.25">
      <c r="A114" s="185" t="s">
        <v>316</v>
      </c>
      <c r="B114" s="349" t="s">
        <v>57</v>
      </c>
      <c r="C114" s="350">
        <v>33518</v>
      </c>
      <c r="D114" s="351"/>
    </row>
    <row r="115" spans="1:4" ht="23.25">
      <c r="A115" s="185" t="s">
        <v>337</v>
      </c>
      <c r="B115" s="349" t="s">
        <v>329</v>
      </c>
      <c r="C115" s="350">
        <v>1184420</v>
      </c>
      <c r="D115" s="351"/>
    </row>
    <row r="116" spans="1:4" ht="23.25">
      <c r="A116" s="185" t="s">
        <v>55</v>
      </c>
      <c r="B116" s="349"/>
      <c r="C116" s="350">
        <v>1337279.96</v>
      </c>
      <c r="D116" s="351"/>
    </row>
    <row r="117" spans="1:4" ht="23.25">
      <c r="A117" s="185" t="s">
        <v>470</v>
      </c>
      <c r="B117" s="349"/>
      <c r="C117" s="350">
        <v>4340</v>
      </c>
      <c r="D117" s="351"/>
    </row>
    <row r="118" spans="1:4" ht="23.25">
      <c r="A118" s="185" t="s">
        <v>373</v>
      </c>
      <c r="B118" s="349"/>
      <c r="C118" s="350">
        <v>239.44</v>
      </c>
      <c r="D118" s="351"/>
    </row>
    <row r="119" spans="1:4" ht="23.25">
      <c r="A119" s="185" t="s">
        <v>428</v>
      </c>
      <c r="B119" s="349"/>
      <c r="C119" s="350">
        <v>2263</v>
      </c>
      <c r="D119" s="351"/>
    </row>
    <row r="120" spans="1:4" ht="23.25">
      <c r="A120" s="185" t="s">
        <v>333</v>
      </c>
      <c r="B120" s="349"/>
      <c r="C120" s="350">
        <v>6191.57</v>
      </c>
      <c r="D120" s="351"/>
    </row>
    <row r="121" spans="1:4" ht="23.25">
      <c r="A121" s="185" t="s">
        <v>437</v>
      </c>
      <c r="B121" s="349"/>
      <c r="C121" s="350">
        <v>3880</v>
      </c>
      <c r="D121" s="351"/>
    </row>
    <row r="122" spans="1:4" ht="23.25">
      <c r="A122" s="185" t="s">
        <v>438</v>
      </c>
      <c r="B122" s="349"/>
      <c r="C122" s="350">
        <v>13070</v>
      </c>
      <c r="D122" s="351"/>
    </row>
    <row r="123" spans="1:4" ht="23.25">
      <c r="A123" s="185" t="s">
        <v>440</v>
      </c>
      <c r="B123" s="349"/>
      <c r="C123" s="350">
        <v>9208.28</v>
      </c>
      <c r="D123" s="351"/>
    </row>
    <row r="124" spans="1:4" ht="23.25">
      <c r="A124" s="202" t="s">
        <v>319</v>
      </c>
      <c r="B124" s="349"/>
      <c r="C124" s="350">
        <v>6200</v>
      </c>
      <c r="D124" s="351"/>
    </row>
    <row r="125" spans="1:4" ht="23.25">
      <c r="A125" s="185" t="s">
        <v>317</v>
      </c>
      <c r="B125" s="188"/>
      <c r="C125" s="350">
        <v>84100</v>
      </c>
      <c r="D125" s="351"/>
    </row>
    <row r="126" spans="1:4" ht="23.25">
      <c r="A126" s="185" t="s">
        <v>1</v>
      </c>
      <c r="B126" s="188"/>
      <c r="C126" s="350">
        <v>68700</v>
      </c>
      <c r="D126" s="351"/>
    </row>
    <row r="127" spans="1:4" ht="23.25">
      <c r="A127" s="185" t="s">
        <v>321</v>
      </c>
      <c r="B127" s="188"/>
      <c r="C127" s="350">
        <v>39900</v>
      </c>
      <c r="D127" s="351"/>
    </row>
    <row r="128" spans="1:4" ht="23.25">
      <c r="A128" s="185" t="s">
        <v>318</v>
      </c>
      <c r="B128" s="188"/>
      <c r="C128" s="350">
        <v>23800</v>
      </c>
      <c r="D128" s="351"/>
    </row>
    <row r="129" spans="1:4" ht="23.25">
      <c r="A129" s="352" t="s">
        <v>341</v>
      </c>
      <c r="B129" s="349"/>
      <c r="C129" s="351"/>
      <c r="D129" s="411">
        <v>4338970.91</v>
      </c>
    </row>
    <row r="130" spans="1:4" ht="23.25">
      <c r="A130" s="352" t="s">
        <v>333</v>
      </c>
      <c r="B130" s="188"/>
      <c r="C130" s="351"/>
      <c r="D130" s="411">
        <v>9289.05</v>
      </c>
    </row>
    <row r="131" spans="1:4" ht="23.25">
      <c r="A131" s="352" t="s">
        <v>319</v>
      </c>
      <c r="B131" s="188"/>
      <c r="C131" s="351"/>
      <c r="D131" s="411">
        <v>6200</v>
      </c>
    </row>
    <row r="132" spans="1:4" ht="23.25">
      <c r="A132" s="352" t="s">
        <v>1</v>
      </c>
      <c r="B132" s="188"/>
      <c r="C132" s="353">
        <f>SUM(C100:C131)</f>
        <v>4570959.960000001</v>
      </c>
      <c r="D132" s="411">
        <v>68700</v>
      </c>
    </row>
    <row r="133" spans="1:4" ht="23.25">
      <c r="A133" s="352" t="s">
        <v>321</v>
      </c>
      <c r="B133" s="188"/>
      <c r="C133" s="353"/>
      <c r="D133" s="411">
        <v>39900</v>
      </c>
    </row>
    <row r="134" spans="1:4" ht="23.25">
      <c r="A134" s="352" t="s">
        <v>318</v>
      </c>
      <c r="B134" s="188"/>
      <c r="C134" s="353"/>
      <c r="D134" s="411">
        <v>23800</v>
      </c>
    </row>
    <row r="135" spans="1:4" ht="23.25">
      <c r="A135" s="352" t="s">
        <v>317</v>
      </c>
      <c r="B135" s="188"/>
      <c r="C135" s="351"/>
      <c r="D135" s="411">
        <v>84100</v>
      </c>
    </row>
    <row r="136" spans="1:4" ht="23.25">
      <c r="A136" s="185"/>
      <c r="B136" s="188"/>
      <c r="C136" s="483">
        <f>SUM(C100:C129)</f>
        <v>4570959.960000001</v>
      </c>
      <c r="D136" s="491">
        <f>SUM(D129:D135)</f>
        <v>4570959.96</v>
      </c>
    </row>
    <row r="137" spans="1:4" ht="23.25">
      <c r="A137" s="354" t="s">
        <v>474</v>
      </c>
      <c r="B137" s="505"/>
      <c r="C137" s="505"/>
      <c r="D137" s="506"/>
    </row>
    <row r="138" spans="1:5" ht="23.25">
      <c r="A138" s="362" t="s">
        <v>320</v>
      </c>
      <c r="B138" s="48"/>
      <c r="C138" s="425"/>
      <c r="D138" s="358"/>
      <c r="E138" s="479">
        <f>4570959.96-C136</f>
        <v>0</v>
      </c>
    </row>
    <row r="139" spans="1:4" ht="20.25">
      <c r="A139" s="484"/>
      <c r="B139" s="485"/>
      <c r="C139" s="485"/>
      <c r="D139" s="486"/>
    </row>
    <row r="140" spans="1:4" ht="23.25">
      <c r="A140" s="365"/>
      <c r="B140" s="366"/>
      <c r="C140" s="366"/>
      <c r="D140" s="367"/>
    </row>
    <row r="141" spans="1:4" ht="23.25">
      <c r="A141" s="676" t="s">
        <v>475</v>
      </c>
      <c r="B141" s="676"/>
      <c r="C141" s="676"/>
      <c r="D141" s="676"/>
    </row>
    <row r="142" spans="1:4" ht="23.25">
      <c r="A142" s="676" t="s">
        <v>476</v>
      </c>
      <c r="B142" s="676"/>
      <c r="C142" s="676"/>
      <c r="D142" s="676"/>
    </row>
    <row r="143" spans="1:4" ht="23.25">
      <c r="A143" s="677" t="s">
        <v>313</v>
      </c>
      <c r="B143" s="677"/>
      <c r="C143" s="677"/>
      <c r="D143" s="677"/>
    </row>
    <row r="144" spans="1:4" ht="23.25">
      <c r="A144" s="345" t="s">
        <v>314</v>
      </c>
      <c r="B144" s="345"/>
      <c r="C144" s="345"/>
      <c r="D144" s="345"/>
    </row>
    <row r="145" spans="1:4" ht="23.25">
      <c r="A145" s="347" t="s">
        <v>36</v>
      </c>
      <c r="B145" s="348" t="s">
        <v>35</v>
      </c>
      <c r="C145" s="348" t="s">
        <v>315</v>
      </c>
      <c r="D145" s="348" t="s">
        <v>38</v>
      </c>
    </row>
    <row r="146" spans="1:4" ht="23.25">
      <c r="A146" s="185" t="s">
        <v>48</v>
      </c>
      <c r="B146" s="349" t="s">
        <v>325</v>
      </c>
      <c r="C146" s="350">
        <v>16540.32</v>
      </c>
      <c r="D146" s="351"/>
    </row>
    <row r="147" spans="1:4" ht="23.25">
      <c r="A147" s="185" t="s">
        <v>42</v>
      </c>
      <c r="B147" s="349" t="s">
        <v>327</v>
      </c>
      <c r="C147" s="350">
        <v>584628</v>
      </c>
      <c r="D147" s="351"/>
    </row>
    <row r="148" spans="1:4" ht="23.25">
      <c r="A148" s="185" t="s">
        <v>332</v>
      </c>
      <c r="B148" s="349" t="s">
        <v>340</v>
      </c>
      <c r="C148" s="350">
        <v>99640</v>
      </c>
      <c r="D148" s="351"/>
    </row>
    <row r="149" spans="1:4" ht="23.25">
      <c r="A149" s="185" t="s">
        <v>332</v>
      </c>
      <c r="B149" s="349" t="s">
        <v>436</v>
      </c>
      <c r="C149" s="350">
        <v>2910</v>
      </c>
      <c r="D149" s="351"/>
    </row>
    <row r="150" spans="1:4" ht="23.25">
      <c r="A150" s="185" t="s">
        <v>43</v>
      </c>
      <c r="B150" s="188">
        <v>6200</v>
      </c>
      <c r="C150" s="350">
        <v>12173</v>
      </c>
      <c r="D150" s="351"/>
    </row>
    <row r="151" spans="1:4" ht="23.25">
      <c r="A151" s="185" t="s">
        <v>44</v>
      </c>
      <c r="B151" s="188">
        <v>5250</v>
      </c>
      <c r="C151" s="350">
        <v>122469.75</v>
      </c>
      <c r="D151" s="351"/>
    </row>
    <row r="152" spans="1:4" ht="23.25">
      <c r="A152" s="185" t="s">
        <v>44</v>
      </c>
      <c r="B152" s="188"/>
      <c r="C152" s="350">
        <v>39700</v>
      </c>
      <c r="D152" s="351"/>
    </row>
    <row r="153" spans="1:4" ht="23.25">
      <c r="A153" s="185" t="s">
        <v>45</v>
      </c>
      <c r="B153" s="188">
        <v>5270</v>
      </c>
      <c r="C153" s="350">
        <v>130036.88</v>
      </c>
      <c r="D153" s="351"/>
    </row>
    <row r="154" spans="1:4" ht="23.25">
      <c r="A154" s="185" t="s">
        <v>45</v>
      </c>
      <c r="B154" s="188"/>
      <c r="C154" s="350">
        <v>63032.8</v>
      </c>
      <c r="D154" s="351"/>
    </row>
    <row r="155" spans="1:4" ht="23.25">
      <c r="A155" s="185" t="s">
        <v>46</v>
      </c>
      <c r="B155" s="188">
        <v>5300</v>
      </c>
      <c r="C155" s="350">
        <v>24667.52</v>
      </c>
      <c r="D155" s="351"/>
    </row>
    <row r="156" spans="1:4" ht="23.25">
      <c r="A156" s="185" t="s">
        <v>80</v>
      </c>
      <c r="B156" s="188"/>
      <c r="C156" s="350">
        <v>5000</v>
      </c>
      <c r="D156" s="351"/>
    </row>
    <row r="157" spans="1:4" ht="23.25">
      <c r="A157" s="185" t="s">
        <v>47</v>
      </c>
      <c r="B157" s="188"/>
      <c r="C157" s="350">
        <v>90000</v>
      </c>
      <c r="D157" s="351"/>
    </row>
    <row r="158" spans="1:4" ht="23.25">
      <c r="A158" s="185" t="s">
        <v>47</v>
      </c>
      <c r="B158" s="188"/>
      <c r="C158" s="350">
        <v>36000</v>
      </c>
      <c r="D158" s="351"/>
    </row>
    <row r="159" spans="1:4" ht="23.25">
      <c r="A159" s="185" t="s">
        <v>49</v>
      </c>
      <c r="B159" s="188"/>
      <c r="C159" s="350">
        <v>477000</v>
      </c>
      <c r="D159" s="351"/>
    </row>
    <row r="160" spans="1:4" ht="23.25">
      <c r="A160" s="185" t="s">
        <v>316</v>
      </c>
      <c r="B160" s="349" t="s">
        <v>57</v>
      </c>
      <c r="C160" s="350">
        <v>33156</v>
      </c>
      <c r="D160" s="351"/>
    </row>
    <row r="161" spans="1:4" ht="23.25">
      <c r="A161" s="185" t="s">
        <v>337</v>
      </c>
      <c r="B161" s="349" t="s">
        <v>329</v>
      </c>
      <c r="C161" s="350">
        <v>64990</v>
      </c>
      <c r="D161" s="351"/>
    </row>
    <row r="162" spans="1:4" ht="23.25">
      <c r="A162" s="185" t="s">
        <v>470</v>
      </c>
      <c r="B162" s="349"/>
      <c r="C162" s="350">
        <v>3000</v>
      </c>
      <c r="D162" s="351"/>
    </row>
    <row r="163" spans="1:4" ht="23.25">
      <c r="A163" s="185" t="s">
        <v>373</v>
      </c>
      <c r="B163" s="349"/>
      <c r="C163" s="350">
        <v>2652.97</v>
      </c>
      <c r="D163" s="351"/>
    </row>
    <row r="164" spans="1:4" ht="23.25">
      <c r="A164" s="185" t="s">
        <v>428</v>
      </c>
      <c r="B164" s="349"/>
      <c r="C164" s="350">
        <v>2031</v>
      </c>
      <c r="D164" s="351"/>
    </row>
    <row r="165" spans="1:4" ht="23.25">
      <c r="A165" s="185" t="s">
        <v>333</v>
      </c>
      <c r="B165" s="349"/>
      <c r="C165" s="350">
        <v>9290.54</v>
      </c>
      <c r="D165" s="351"/>
    </row>
    <row r="166" spans="1:4" ht="23.25">
      <c r="A166" s="185" t="s">
        <v>437</v>
      </c>
      <c r="B166" s="349"/>
      <c r="C166" s="350">
        <v>6210</v>
      </c>
      <c r="D166" s="351"/>
    </row>
    <row r="167" spans="1:4" ht="23.25">
      <c r="A167" s="185" t="s">
        <v>440</v>
      </c>
      <c r="B167" s="349"/>
      <c r="C167" s="350">
        <v>9208.28</v>
      </c>
      <c r="D167" s="351"/>
    </row>
    <row r="168" spans="1:4" ht="23.25">
      <c r="A168" s="202" t="s">
        <v>319</v>
      </c>
      <c r="B168" s="349"/>
      <c r="C168" s="350">
        <v>6200</v>
      </c>
      <c r="D168" s="351"/>
    </row>
    <row r="169" spans="1:4" ht="23.25">
      <c r="A169" s="185" t="s">
        <v>317</v>
      </c>
      <c r="B169" s="188"/>
      <c r="C169" s="350">
        <v>84100</v>
      </c>
      <c r="D169" s="351"/>
    </row>
    <row r="170" spans="1:4" ht="23.25">
      <c r="A170" s="185" t="s">
        <v>1</v>
      </c>
      <c r="B170" s="188"/>
      <c r="C170" s="350">
        <v>66300</v>
      </c>
      <c r="D170" s="351"/>
    </row>
    <row r="171" spans="1:4" ht="23.25">
      <c r="A171" s="185" t="s">
        <v>321</v>
      </c>
      <c r="B171" s="188"/>
      <c r="C171" s="350">
        <v>42800</v>
      </c>
      <c r="D171" s="351"/>
    </row>
    <row r="172" spans="1:4" ht="23.25">
      <c r="A172" s="185" t="s">
        <v>318</v>
      </c>
      <c r="B172" s="188"/>
      <c r="C172" s="350">
        <v>23800</v>
      </c>
      <c r="D172" s="351"/>
    </row>
    <row r="173" spans="1:4" ht="23.25">
      <c r="A173" s="352" t="s">
        <v>341</v>
      </c>
      <c r="B173" s="349"/>
      <c r="C173" s="351"/>
      <c r="D173" s="411">
        <v>1824789.61</v>
      </c>
    </row>
    <row r="174" spans="1:4" ht="23.25">
      <c r="A174" s="352" t="s">
        <v>333</v>
      </c>
      <c r="B174" s="188"/>
      <c r="C174" s="351"/>
      <c r="D174" s="411">
        <v>9547.45</v>
      </c>
    </row>
    <row r="175" spans="1:4" ht="23.25">
      <c r="A175" s="352" t="s">
        <v>319</v>
      </c>
      <c r="B175" s="188"/>
      <c r="C175" s="351"/>
      <c r="D175" s="411">
        <v>6200</v>
      </c>
    </row>
    <row r="176" spans="1:4" ht="23.25">
      <c r="A176" s="352" t="s">
        <v>1</v>
      </c>
      <c r="B176" s="188"/>
      <c r="C176" s="353">
        <f>SUM(C146:C175)</f>
        <v>2057537.06</v>
      </c>
      <c r="D176" s="411">
        <v>66300</v>
      </c>
    </row>
    <row r="177" spans="1:4" ht="23.25">
      <c r="A177" s="352" t="s">
        <v>321</v>
      </c>
      <c r="B177" s="188"/>
      <c r="C177" s="353"/>
      <c r="D177" s="411">
        <v>42800</v>
      </c>
    </row>
    <row r="178" spans="1:4" ht="23.25">
      <c r="A178" s="352" t="s">
        <v>318</v>
      </c>
      <c r="B178" s="188"/>
      <c r="C178" s="353"/>
      <c r="D178" s="411">
        <v>23800</v>
      </c>
    </row>
    <row r="179" spans="1:4" ht="23.25">
      <c r="A179" s="352" t="s">
        <v>317</v>
      </c>
      <c r="B179" s="188"/>
      <c r="C179" s="351"/>
      <c r="D179" s="411">
        <v>84100</v>
      </c>
    </row>
    <row r="180" spans="1:4" ht="23.25">
      <c r="A180" s="185"/>
      <c r="B180" s="188"/>
      <c r="C180" s="483">
        <f>SUM(C146:C173)</f>
        <v>2057537.06</v>
      </c>
      <c r="D180" s="491">
        <f>SUM(D173:D179)</f>
        <v>2057537.06</v>
      </c>
    </row>
    <row r="181" spans="1:5" ht="23.25">
      <c r="A181" s="354" t="s">
        <v>477</v>
      </c>
      <c r="B181" s="505"/>
      <c r="C181" s="505"/>
      <c r="D181" s="506"/>
      <c r="E181" s="479">
        <f>C180-D180</f>
        <v>0</v>
      </c>
    </row>
    <row r="182" spans="1:4" ht="23.25">
      <c r="A182" s="362" t="s">
        <v>320</v>
      </c>
      <c r="B182" s="48"/>
      <c r="C182" s="425"/>
      <c r="D182" s="358"/>
    </row>
    <row r="183" spans="1:4" ht="20.25">
      <c r="A183" s="484"/>
      <c r="B183" s="485"/>
      <c r="C183" s="485"/>
      <c r="D183" s="486"/>
    </row>
    <row r="184" spans="1:4" ht="23.25">
      <c r="A184" s="365"/>
      <c r="B184" s="366"/>
      <c r="C184" s="366"/>
      <c r="D184" s="367"/>
    </row>
  </sheetData>
  <sheetProtection/>
  <mergeCells count="12">
    <mergeCell ref="A1:D1"/>
    <mergeCell ref="A2:D2"/>
    <mergeCell ref="A3:D3"/>
    <mergeCell ref="A50:D50"/>
    <mergeCell ref="A51:D51"/>
    <mergeCell ref="A52:D52"/>
    <mergeCell ref="A141:D141"/>
    <mergeCell ref="A142:D142"/>
    <mergeCell ref="A143:D143"/>
    <mergeCell ref="A95:D95"/>
    <mergeCell ref="A96:D96"/>
    <mergeCell ref="A97:D97"/>
  </mergeCells>
  <printOptions/>
  <pageMargins left="0.66" right="0.38" top="0.24" bottom="0.29" header="0.16" footer="0.18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6"/>
  <sheetViews>
    <sheetView view="pageBreakPreview" zoomScaleSheetLayoutView="100" zoomScalePageLayoutView="0" workbookViewId="0" topLeftCell="A7">
      <selection activeCell="D36" sqref="D36"/>
    </sheetView>
  </sheetViews>
  <sheetFormatPr defaultColWidth="9.140625" defaultRowHeight="21.75"/>
  <cols>
    <col min="1" max="1" width="60.140625" style="346" customWidth="1"/>
    <col min="2" max="2" width="10.140625" style="346" customWidth="1"/>
    <col min="3" max="3" width="16.8515625" style="346" customWidth="1"/>
    <col min="4" max="4" width="16.421875" style="346" customWidth="1"/>
    <col min="5" max="5" width="29.421875" style="346" bestFit="1" customWidth="1"/>
    <col min="6" max="7" width="20.421875" style="346" bestFit="1" customWidth="1"/>
    <col min="8" max="16384" width="9.140625" style="346" customWidth="1"/>
  </cols>
  <sheetData>
    <row r="1" spans="1:4" ht="23.25">
      <c r="A1" s="676" t="s">
        <v>593</v>
      </c>
      <c r="B1" s="676"/>
      <c r="C1" s="676"/>
      <c r="D1" s="676"/>
    </row>
    <row r="2" spans="1:4" ht="23.25">
      <c r="A2" s="676" t="s">
        <v>592</v>
      </c>
      <c r="B2" s="676"/>
      <c r="C2" s="676"/>
      <c r="D2" s="676"/>
    </row>
    <row r="3" spans="1:4" ht="23.25">
      <c r="A3" s="677" t="s">
        <v>391</v>
      </c>
      <c r="B3" s="677"/>
      <c r="C3" s="677"/>
      <c r="D3" s="677"/>
    </row>
    <row r="4" spans="1:4" ht="23.25">
      <c r="A4" s="345" t="s">
        <v>314</v>
      </c>
      <c r="B4" s="345"/>
      <c r="C4" s="345"/>
      <c r="D4" s="345"/>
    </row>
    <row r="5" spans="1:4" ht="26.25" customHeight="1">
      <c r="A5" s="347" t="s">
        <v>36</v>
      </c>
      <c r="B5" s="348" t="s">
        <v>35</v>
      </c>
      <c r="C5" s="348" t="s">
        <v>315</v>
      </c>
      <c r="D5" s="348" t="s">
        <v>38</v>
      </c>
    </row>
    <row r="6" spans="1:5" ht="23.25">
      <c r="A6" s="202" t="s">
        <v>114</v>
      </c>
      <c r="B6" s="349"/>
      <c r="C6" s="350">
        <v>4659272.82</v>
      </c>
      <c r="D6" s="351"/>
      <c r="E6" s="368"/>
    </row>
    <row r="7" spans="1:5" ht="23.25">
      <c r="A7" s="202" t="s">
        <v>539</v>
      </c>
      <c r="B7" s="349"/>
      <c r="C7" s="351">
        <v>9208.28</v>
      </c>
      <c r="D7" s="351"/>
      <c r="E7" s="368"/>
    </row>
    <row r="8" spans="1:5" ht="23.25">
      <c r="A8" s="202" t="s">
        <v>594</v>
      </c>
      <c r="B8" s="349"/>
      <c r="C8" s="351">
        <v>3760800</v>
      </c>
      <c r="D8" s="351"/>
      <c r="E8" s="368"/>
    </row>
    <row r="9" spans="1:5" ht="23.25">
      <c r="A9" s="202" t="s">
        <v>549</v>
      </c>
      <c r="B9" s="349"/>
      <c r="C9" s="351">
        <v>2098205.61</v>
      </c>
      <c r="D9" s="351"/>
      <c r="E9" s="368"/>
    </row>
    <row r="10" spans="1:5" ht="23.25">
      <c r="A10" s="439" t="s">
        <v>392</v>
      </c>
      <c r="B10" s="188"/>
      <c r="C10" s="350"/>
      <c r="D10" s="351">
        <v>23071.7</v>
      </c>
      <c r="E10" s="481"/>
    </row>
    <row r="11" spans="1:5" ht="23.25">
      <c r="A11" s="439" t="s">
        <v>461</v>
      </c>
      <c r="B11" s="188"/>
      <c r="C11" s="350"/>
      <c r="D11" s="351">
        <v>38501</v>
      </c>
      <c r="E11" s="481"/>
    </row>
    <row r="12" spans="1:5" ht="23.25">
      <c r="A12" s="439" t="s">
        <v>431</v>
      </c>
      <c r="B12" s="188"/>
      <c r="C12" s="350"/>
      <c r="D12" s="351">
        <v>66672</v>
      </c>
      <c r="E12" s="481"/>
    </row>
    <row r="13" spans="1:5" ht="23.25">
      <c r="A13" s="439" t="s">
        <v>393</v>
      </c>
      <c r="B13" s="188"/>
      <c r="C13" s="350"/>
      <c r="D13" s="351">
        <v>176</v>
      </c>
      <c r="E13" s="481"/>
    </row>
    <row r="14" spans="1:5" ht="23.25">
      <c r="A14" s="439" t="s">
        <v>394</v>
      </c>
      <c r="B14" s="188"/>
      <c r="C14" s="350"/>
      <c r="D14" s="351">
        <v>64645</v>
      </c>
      <c r="E14" s="368"/>
    </row>
    <row r="15" spans="1:4" ht="23.25">
      <c r="A15" s="439" t="s">
        <v>432</v>
      </c>
      <c r="B15" s="188"/>
      <c r="C15" s="350"/>
      <c r="D15" s="351">
        <v>350</v>
      </c>
    </row>
    <row r="16" spans="1:4" ht="23.25">
      <c r="A16" s="439" t="s">
        <v>395</v>
      </c>
      <c r="B16" s="188"/>
      <c r="C16" s="350"/>
      <c r="D16" s="351">
        <v>60</v>
      </c>
    </row>
    <row r="17" spans="1:4" ht="23.25">
      <c r="A17" s="439" t="s">
        <v>525</v>
      </c>
      <c r="B17" s="188"/>
      <c r="C17" s="350"/>
      <c r="D17" s="351">
        <v>10</v>
      </c>
    </row>
    <row r="18" spans="1:4" ht="23.25">
      <c r="A18" s="439" t="s">
        <v>396</v>
      </c>
      <c r="B18" s="188"/>
      <c r="C18" s="350"/>
      <c r="D18" s="351">
        <v>1697</v>
      </c>
    </row>
    <row r="19" spans="1:4" ht="23.25">
      <c r="A19" s="439" t="s">
        <v>457</v>
      </c>
      <c r="B19" s="188"/>
      <c r="C19" s="350"/>
      <c r="D19" s="351">
        <v>14185.16</v>
      </c>
    </row>
    <row r="20" spans="1:4" ht="23.25">
      <c r="A20" s="439" t="s">
        <v>68</v>
      </c>
      <c r="B20" s="188"/>
      <c r="C20" s="350"/>
      <c r="D20" s="351">
        <v>6000</v>
      </c>
    </row>
    <row r="21" spans="1:4" ht="23.25">
      <c r="A21" s="439" t="s">
        <v>595</v>
      </c>
      <c r="B21" s="188"/>
      <c r="C21" s="350"/>
      <c r="D21" s="351">
        <v>2599513.03</v>
      </c>
    </row>
    <row r="22" spans="1:4" ht="23.25">
      <c r="A22" s="439" t="s">
        <v>398</v>
      </c>
      <c r="B22" s="188"/>
      <c r="C22" s="350"/>
      <c r="D22" s="351">
        <v>603781.88</v>
      </c>
    </row>
    <row r="23" spans="1:4" ht="23.25">
      <c r="A23" s="439" t="s">
        <v>399</v>
      </c>
      <c r="B23" s="188"/>
      <c r="C23" s="350"/>
      <c r="D23" s="351">
        <v>26434.25</v>
      </c>
    </row>
    <row r="24" spans="1:4" ht="23.25">
      <c r="A24" s="439" t="s">
        <v>400</v>
      </c>
      <c r="B24" s="188"/>
      <c r="C24" s="350"/>
      <c r="D24" s="351">
        <v>244719.91</v>
      </c>
    </row>
    <row r="25" spans="1:4" ht="23.25">
      <c r="A25" s="439" t="s">
        <v>401</v>
      </c>
      <c r="B25" s="188"/>
      <c r="C25" s="350"/>
      <c r="D25" s="351">
        <v>541663.18</v>
      </c>
    </row>
    <row r="26" spans="1:4" ht="23.25">
      <c r="A26" s="439" t="s">
        <v>402</v>
      </c>
      <c r="B26" s="188"/>
      <c r="C26" s="350"/>
      <c r="D26" s="351">
        <v>22968.56</v>
      </c>
    </row>
    <row r="27" spans="1:4" ht="23.25">
      <c r="A27" s="439" t="s">
        <v>596</v>
      </c>
      <c r="B27" s="188"/>
      <c r="C27" s="350"/>
      <c r="D27" s="351">
        <v>27198.15</v>
      </c>
    </row>
    <row r="28" spans="1:4" ht="23.25">
      <c r="A28" s="439" t="s">
        <v>545</v>
      </c>
      <c r="B28" s="188"/>
      <c r="C28" s="350"/>
      <c r="D28" s="351">
        <v>377626</v>
      </c>
    </row>
    <row r="29" spans="1:4" ht="23.25">
      <c r="A29" s="439" t="s">
        <v>451</v>
      </c>
      <c r="B29" s="188"/>
      <c r="C29" s="350"/>
      <c r="D29" s="351">
        <v>3760800</v>
      </c>
    </row>
    <row r="30" spans="1:4" ht="23.25">
      <c r="A30" s="439" t="s">
        <v>540</v>
      </c>
      <c r="B30" s="188"/>
      <c r="C30" s="350"/>
      <c r="D30" s="351">
        <v>9208.28</v>
      </c>
    </row>
    <row r="31" spans="1:4" ht="23.25">
      <c r="A31" s="439" t="s">
        <v>550</v>
      </c>
      <c r="B31" s="188"/>
      <c r="C31" s="350"/>
      <c r="D31" s="351">
        <v>2098205.61</v>
      </c>
    </row>
    <row r="32" spans="1:4" ht="23.25">
      <c r="A32" s="439"/>
      <c r="B32" s="188"/>
      <c r="C32" s="350"/>
      <c r="D32" s="351"/>
    </row>
    <row r="33" spans="1:4" ht="23.25">
      <c r="A33" s="439"/>
      <c r="B33" s="188"/>
      <c r="C33" s="350">
        <f>SUM(C6:C9)</f>
        <v>10527486.71</v>
      </c>
      <c r="D33" s="351">
        <f>SUM(D10:D32)</f>
        <v>10527486.709999999</v>
      </c>
    </row>
    <row r="34" spans="1:4" ht="31.5" customHeight="1">
      <c r="A34" s="354" t="s">
        <v>597</v>
      </c>
      <c r="B34" s="355"/>
      <c r="C34" s="355"/>
      <c r="D34" s="356"/>
    </row>
    <row r="35" spans="1:4" ht="15" customHeight="1">
      <c r="A35" s="357"/>
      <c r="B35" s="48"/>
      <c r="C35" s="48"/>
      <c r="D35" s="358"/>
    </row>
    <row r="36" spans="1:4" ht="27" customHeight="1">
      <c r="A36" s="200" t="s">
        <v>467</v>
      </c>
      <c r="B36" s="48"/>
      <c r="C36" s="48"/>
      <c r="D36" s="426"/>
    </row>
    <row r="37" spans="1:4" ht="23.25">
      <c r="A37" s="200"/>
      <c r="B37" s="48"/>
      <c r="C37" s="48"/>
      <c r="D37" s="426"/>
    </row>
    <row r="38" spans="1:4" ht="23.25">
      <c r="A38" s="365"/>
      <c r="B38" s="366"/>
      <c r="C38" s="366"/>
      <c r="D38" s="367"/>
    </row>
    <row r="39" spans="1:4" ht="23.25">
      <c r="A39" s="48"/>
      <c r="B39" s="48"/>
      <c r="C39" s="48"/>
      <c r="D39" s="48"/>
    </row>
    <row r="40" spans="1:4" ht="23.25">
      <c r="A40" s="48"/>
      <c r="B40" s="48"/>
      <c r="C40" s="48"/>
      <c r="D40" s="48"/>
    </row>
    <row r="41" spans="1:4" ht="23.25">
      <c r="A41" s="48"/>
      <c r="B41" s="48"/>
      <c r="C41" s="48"/>
      <c r="D41" s="48"/>
    </row>
    <row r="42" spans="1:4" ht="23.25">
      <c r="A42" s="48"/>
      <c r="B42" s="48"/>
      <c r="C42" s="48"/>
      <c r="D42" s="48"/>
    </row>
    <row r="43" spans="1:4" ht="23.25">
      <c r="A43" s="48"/>
      <c r="B43" s="48"/>
      <c r="C43" s="48"/>
      <c r="D43" s="48"/>
    </row>
    <row r="45" spans="1:4" ht="23.25">
      <c r="A45" s="676" t="s">
        <v>452</v>
      </c>
      <c r="B45" s="676"/>
      <c r="C45" s="676"/>
      <c r="D45" s="676"/>
    </row>
    <row r="46" spans="1:4" ht="23.25">
      <c r="A46" s="676" t="s">
        <v>453</v>
      </c>
      <c r="B46" s="676"/>
      <c r="C46" s="676"/>
      <c r="D46" s="676"/>
    </row>
    <row r="47" spans="1:4" ht="23.25">
      <c r="A47" s="677" t="s">
        <v>391</v>
      </c>
      <c r="B47" s="677"/>
      <c r="C47" s="677"/>
      <c r="D47" s="677"/>
    </row>
    <row r="48" spans="1:4" ht="23.25">
      <c r="A48" s="345" t="s">
        <v>314</v>
      </c>
      <c r="B48" s="345"/>
      <c r="C48" s="345"/>
      <c r="D48" s="345"/>
    </row>
    <row r="49" spans="1:4" ht="23.25">
      <c r="A49" s="347" t="s">
        <v>36</v>
      </c>
      <c r="B49" s="348" t="s">
        <v>35</v>
      </c>
      <c r="C49" s="348" t="s">
        <v>315</v>
      </c>
      <c r="D49" s="348" t="s">
        <v>38</v>
      </c>
    </row>
    <row r="50" spans="1:4" ht="23.25">
      <c r="A50" s="202" t="s">
        <v>114</v>
      </c>
      <c r="B50" s="349"/>
      <c r="C50" s="350">
        <f>D52+D53+D54+D55+D56+D57+D58+D59+D60+D61+D62+D63+D64+D65+D66+D67+D68+D69</f>
        <v>835689.42</v>
      </c>
      <c r="D50" s="351"/>
    </row>
    <row r="51" spans="1:4" ht="23.25">
      <c r="A51" s="202" t="s">
        <v>404</v>
      </c>
      <c r="B51" s="349"/>
      <c r="C51" s="350">
        <v>1757700</v>
      </c>
      <c r="D51" s="351"/>
    </row>
    <row r="52" spans="1:4" ht="23.25">
      <c r="A52" s="439" t="s">
        <v>392</v>
      </c>
      <c r="B52" s="188"/>
      <c r="C52" s="350"/>
      <c r="D52" s="351">
        <v>1132.08</v>
      </c>
    </row>
    <row r="53" spans="1:4" ht="23.25">
      <c r="A53" s="439" t="s">
        <v>393</v>
      </c>
      <c r="B53" s="188"/>
      <c r="C53" s="350"/>
      <c r="D53" s="351">
        <v>284</v>
      </c>
    </row>
    <row r="54" spans="1:4" ht="23.25">
      <c r="A54" s="439" t="s">
        <v>394</v>
      </c>
      <c r="B54" s="188"/>
      <c r="C54" s="350"/>
      <c r="D54" s="351">
        <v>60390</v>
      </c>
    </row>
    <row r="55" spans="1:4" ht="23.25">
      <c r="A55" s="439" t="s">
        <v>432</v>
      </c>
      <c r="B55" s="188"/>
      <c r="C55" s="350"/>
      <c r="D55" s="351">
        <v>380</v>
      </c>
    </row>
    <row r="56" spans="1:4" ht="23.25">
      <c r="A56" s="439" t="s">
        <v>395</v>
      </c>
      <c r="B56" s="188"/>
      <c r="C56" s="350"/>
      <c r="D56" s="351">
        <v>60</v>
      </c>
    </row>
    <row r="57" spans="1:4" ht="23.25">
      <c r="A57" s="439" t="s">
        <v>442</v>
      </c>
      <c r="B57" s="188"/>
      <c r="C57" s="350"/>
      <c r="D57" s="351">
        <v>1200</v>
      </c>
    </row>
    <row r="58" spans="1:4" ht="23.25">
      <c r="A58" s="439" t="s">
        <v>443</v>
      </c>
      <c r="B58" s="188"/>
      <c r="C58" s="350"/>
      <c r="D58" s="351">
        <v>300</v>
      </c>
    </row>
    <row r="59" spans="1:4" ht="23.25">
      <c r="A59" s="439" t="s">
        <v>444</v>
      </c>
      <c r="B59" s="188"/>
      <c r="C59" s="350"/>
      <c r="D59" s="351">
        <v>10</v>
      </c>
    </row>
    <row r="60" spans="1:4" ht="23.25">
      <c r="A60" s="439" t="s">
        <v>396</v>
      </c>
      <c r="B60" s="188"/>
      <c r="C60" s="350"/>
      <c r="D60" s="351">
        <v>162</v>
      </c>
    </row>
    <row r="61" spans="1:4" ht="23.25">
      <c r="A61" s="439" t="s">
        <v>397</v>
      </c>
      <c r="B61" s="188"/>
      <c r="C61" s="350"/>
      <c r="D61" s="351">
        <v>2000</v>
      </c>
    </row>
    <row r="62" spans="1:4" ht="23.25">
      <c r="A62" s="439" t="s">
        <v>433</v>
      </c>
      <c r="B62" s="188"/>
      <c r="C62" s="350"/>
      <c r="D62" s="351">
        <v>520</v>
      </c>
    </row>
    <row r="63" spans="1:4" ht="23.25">
      <c r="A63" s="439" t="s">
        <v>434</v>
      </c>
      <c r="B63" s="188"/>
      <c r="C63" s="350"/>
      <c r="D63" s="351">
        <v>900</v>
      </c>
    </row>
    <row r="64" spans="1:4" ht="23.25">
      <c r="A64" s="439" t="s">
        <v>445</v>
      </c>
      <c r="B64" s="188"/>
      <c r="C64" s="350"/>
      <c r="D64" s="351">
        <v>3.68</v>
      </c>
    </row>
    <row r="65" spans="1:4" ht="23.25">
      <c r="A65" s="439" t="s">
        <v>446</v>
      </c>
      <c r="B65" s="188"/>
      <c r="C65" s="350"/>
      <c r="D65" s="351">
        <v>350</v>
      </c>
    </row>
    <row r="66" spans="1:4" ht="23.25">
      <c r="A66" s="439" t="s">
        <v>447</v>
      </c>
      <c r="B66" s="188"/>
      <c r="C66" s="350"/>
      <c r="D66" s="351">
        <v>433565.95</v>
      </c>
    </row>
    <row r="67" spans="1:4" ht="23.25">
      <c r="A67" s="439" t="s">
        <v>399</v>
      </c>
      <c r="B67" s="188"/>
      <c r="C67" s="350"/>
      <c r="D67" s="351">
        <v>12591.49</v>
      </c>
    </row>
    <row r="68" spans="1:4" ht="23.25">
      <c r="A68" s="439" t="s">
        <v>448</v>
      </c>
      <c r="B68" s="188"/>
      <c r="C68" s="350"/>
      <c r="D68" s="351">
        <v>23568.22</v>
      </c>
    </row>
    <row r="69" spans="1:4" ht="23.25">
      <c r="A69" s="439" t="s">
        <v>449</v>
      </c>
      <c r="B69" s="188"/>
      <c r="C69" s="350"/>
      <c r="D69" s="351">
        <v>298272</v>
      </c>
    </row>
    <row r="70" spans="1:4" ht="23.25">
      <c r="A70" s="439" t="s">
        <v>450</v>
      </c>
      <c r="B70" s="188"/>
      <c r="C70" s="350"/>
      <c r="D70" s="351">
        <v>187500</v>
      </c>
    </row>
    <row r="71" spans="1:4" ht="23.25">
      <c r="A71" s="439" t="s">
        <v>451</v>
      </c>
      <c r="B71" s="188"/>
      <c r="C71" s="350"/>
      <c r="D71" s="351">
        <v>1570200</v>
      </c>
    </row>
    <row r="72" spans="1:4" ht="23.25">
      <c r="A72" s="185"/>
      <c r="B72" s="188"/>
      <c r="C72" s="483">
        <f>SUM(C50:C71)</f>
        <v>2593389.42</v>
      </c>
      <c r="D72" s="483">
        <f>SUM(D50:D71)</f>
        <v>2593389.42</v>
      </c>
    </row>
    <row r="73" spans="1:4" ht="23.25">
      <c r="A73" s="354" t="s">
        <v>454</v>
      </c>
      <c r="B73" s="355"/>
      <c r="C73" s="355"/>
      <c r="D73" s="356"/>
    </row>
    <row r="74" spans="1:4" ht="23.25">
      <c r="A74" s="200"/>
      <c r="B74" s="48"/>
      <c r="C74" s="48"/>
      <c r="D74" s="426"/>
    </row>
    <row r="75" spans="1:4" ht="23.25">
      <c r="A75" s="200"/>
      <c r="B75" s="48"/>
      <c r="C75" s="48"/>
      <c r="D75" s="426"/>
    </row>
    <row r="76" spans="1:4" ht="23.25">
      <c r="A76" s="200" t="s">
        <v>467</v>
      </c>
      <c r="B76" s="48"/>
      <c r="C76" s="48"/>
      <c r="D76" s="426"/>
    </row>
    <row r="77" spans="1:4" ht="23.25">
      <c r="A77" s="200"/>
      <c r="B77" s="48"/>
      <c r="C77" s="48"/>
      <c r="D77" s="426"/>
    </row>
    <row r="78" spans="1:4" ht="23.25">
      <c r="A78" s="365"/>
      <c r="B78" s="366"/>
      <c r="C78" s="366"/>
      <c r="D78" s="367"/>
    </row>
    <row r="79" spans="1:4" ht="23.25">
      <c r="A79" s="676" t="s">
        <v>456</v>
      </c>
      <c r="B79" s="676"/>
      <c r="C79" s="676"/>
      <c r="D79" s="676"/>
    </row>
    <row r="80" spans="1:4" ht="23.25">
      <c r="A80" s="676" t="s">
        <v>455</v>
      </c>
      <c r="B80" s="676"/>
      <c r="C80" s="676"/>
      <c r="D80" s="676"/>
    </row>
    <row r="81" spans="1:4" ht="23.25">
      <c r="A81" s="677" t="s">
        <v>391</v>
      </c>
      <c r="B81" s="677"/>
      <c r="C81" s="677"/>
      <c r="D81" s="677"/>
    </row>
    <row r="82" spans="1:4" ht="23.25">
      <c r="A82" s="345" t="s">
        <v>314</v>
      </c>
      <c r="B82" s="345"/>
      <c r="C82" s="345"/>
      <c r="D82" s="345"/>
    </row>
    <row r="83" spans="1:4" ht="23.25">
      <c r="A83" s="347" t="s">
        <v>36</v>
      </c>
      <c r="B83" s="348" t="s">
        <v>35</v>
      </c>
      <c r="C83" s="348" t="s">
        <v>315</v>
      </c>
      <c r="D83" s="348" t="s">
        <v>38</v>
      </c>
    </row>
    <row r="84" spans="1:4" ht="23.25">
      <c r="A84" s="202" t="s">
        <v>114</v>
      </c>
      <c r="B84" s="349"/>
      <c r="C84" s="350">
        <f>D85+D86+D87+D88+D89+D90+D91+D92+D93+D94+D95+D96+D97</f>
        <v>2302976.39</v>
      </c>
      <c r="D84" s="351"/>
    </row>
    <row r="85" spans="1:4" ht="23.25">
      <c r="A85" s="439" t="s">
        <v>394</v>
      </c>
      <c r="B85" s="188"/>
      <c r="C85" s="350"/>
      <c r="D85" s="351">
        <v>21965</v>
      </c>
    </row>
    <row r="86" spans="1:4" ht="23.25">
      <c r="A86" s="439" t="s">
        <v>432</v>
      </c>
      <c r="B86" s="188"/>
      <c r="C86" s="350"/>
      <c r="D86" s="351">
        <v>150</v>
      </c>
    </row>
    <row r="87" spans="1:4" ht="23.25">
      <c r="A87" s="439" t="s">
        <v>443</v>
      </c>
      <c r="B87" s="188"/>
      <c r="C87" s="350"/>
      <c r="D87" s="351">
        <v>300</v>
      </c>
    </row>
    <row r="88" spans="1:4" ht="23.25">
      <c r="A88" s="439" t="s">
        <v>457</v>
      </c>
      <c r="B88" s="188"/>
      <c r="C88" s="350"/>
      <c r="D88" s="351">
        <v>14893.1</v>
      </c>
    </row>
    <row r="89" spans="1:4" ht="23.25">
      <c r="A89" s="439" t="s">
        <v>397</v>
      </c>
      <c r="B89" s="188"/>
      <c r="C89" s="350"/>
      <c r="D89" s="351">
        <v>31500</v>
      </c>
    </row>
    <row r="90" spans="1:4" ht="23.25">
      <c r="A90" s="439" t="s">
        <v>433</v>
      </c>
      <c r="B90" s="188"/>
      <c r="C90" s="350"/>
      <c r="D90" s="351">
        <v>1955</v>
      </c>
    </row>
    <row r="91" spans="1:4" ht="23.25">
      <c r="A91" s="439" t="s">
        <v>434</v>
      </c>
      <c r="B91" s="188"/>
      <c r="C91" s="350"/>
      <c r="D91" s="351">
        <v>900</v>
      </c>
    </row>
    <row r="92" spans="1:4" ht="23.25">
      <c r="A92" s="439" t="s">
        <v>445</v>
      </c>
      <c r="B92" s="188"/>
      <c r="C92" s="350"/>
      <c r="D92" s="351">
        <v>3000</v>
      </c>
    </row>
    <row r="93" spans="1:4" ht="23.25">
      <c r="A93" s="439" t="s">
        <v>398</v>
      </c>
      <c r="B93" s="188"/>
      <c r="C93" s="350"/>
      <c r="D93" s="351">
        <v>353874.88</v>
      </c>
    </row>
    <row r="94" spans="1:4" ht="23.25">
      <c r="A94" s="439" t="s">
        <v>400</v>
      </c>
      <c r="B94" s="188"/>
      <c r="C94" s="350"/>
      <c r="D94" s="351">
        <v>200489.03</v>
      </c>
    </row>
    <row r="95" spans="1:4" ht="23.25">
      <c r="A95" s="439" t="s">
        <v>401</v>
      </c>
      <c r="B95" s="188"/>
      <c r="C95" s="350"/>
      <c r="D95" s="351">
        <v>329931.38</v>
      </c>
    </row>
    <row r="96" spans="1:4" ht="23.25">
      <c r="A96" s="439" t="s">
        <v>449</v>
      </c>
      <c r="B96" s="188"/>
      <c r="C96" s="350"/>
      <c r="D96" s="351">
        <v>650098</v>
      </c>
    </row>
    <row r="97" spans="1:4" ht="23.25">
      <c r="A97" s="439" t="s">
        <v>435</v>
      </c>
      <c r="B97" s="188"/>
      <c r="C97" s="350"/>
      <c r="D97" s="351">
        <v>693920</v>
      </c>
    </row>
    <row r="98" spans="1:4" ht="23.25">
      <c r="A98" s="185"/>
      <c r="B98" s="188"/>
      <c r="C98" s="483">
        <f>SUM(C84:C97)</f>
        <v>2302976.39</v>
      </c>
      <c r="D98" s="483">
        <f>SUM(D85:D97)</f>
        <v>2302976.39</v>
      </c>
    </row>
    <row r="99" spans="1:4" ht="23.25">
      <c r="A99" s="354" t="s">
        <v>458</v>
      </c>
      <c r="B99" s="355"/>
      <c r="C99" s="355"/>
      <c r="D99" s="356"/>
    </row>
    <row r="100" spans="1:4" ht="23.25">
      <c r="A100" s="200"/>
      <c r="B100" s="48"/>
      <c r="C100" s="48"/>
      <c r="D100" s="426"/>
    </row>
    <row r="101" spans="1:4" ht="23.25">
      <c r="A101" s="200"/>
      <c r="B101" s="48"/>
      <c r="C101" s="48"/>
      <c r="D101" s="426"/>
    </row>
    <row r="102" spans="1:4" ht="23.25">
      <c r="A102" s="200" t="s">
        <v>467</v>
      </c>
      <c r="B102" s="48"/>
      <c r="C102" s="48"/>
      <c r="D102" s="426"/>
    </row>
    <row r="103" spans="1:4" ht="23.25">
      <c r="A103" s="200"/>
      <c r="B103" s="48"/>
      <c r="C103" s="48"/>
      <c r="D103" s="426"/>
    </row>
    <row r="104" spans="1:4" ht="23.25">
      <c r="A104" s="365"/>
      <c r="B104" s="366"/>
      <c r="C104" s="366"/>
      <c r="D104" s="367"/>
    </row>
    <row r="114" spans="1:4" ht="23.25">
      <c r="A114" s="676" t="s">
        <v>460</v>
      </c>
      <c r="B114" s="676"/>
      <c r="C114" s="676"/>
      <c r="D114" s="676"/>
    </row>
    <row r="115" spans="1:4" ht="23.25">
      <c r="A115" s="676" t="s">
        <v>459</v>
      </c>
      <c r="B115" s="676"/>
      <c r="C115" s="676"/>
      <c r="D115" s="676"/>
    </row>
    <row r="116" spans="1:4" ht="23.25">
      <c r="A116" s="677" t="s">
        <v>391</v>
      </c>
      <c r="B116" s="677"/>
      <c r="C116" s="677"/>
      <c r="D116" s="677"/>
    </row>
    <row r="117" spans="1:4" ht="23.25">
      <c r="A117" s="345" t="s">
        <v>314</v>
      </c>
      <c r="B117" s="345"/>
      <c r="C117" s="345"/>
      <c r="D117" s="345"/>
    </row>
    <row r="118" spans="1:4" ht="23.25">
      <c r="A118" s="347" t="s">
        <v>36</v>
      </c>
      <c r="B118" s="348" t="s">
        <v>35</v>
      </c>
      <c r="C118" s="348" t="s">
        <v>315</v>
      </c>
      <c r="D118" s="348" t="s">
        <v>38</v>
      </c>
    </row>
    <row r="119" spans="1:4" ht="23.25">
      <c r="A119" s="202" t="s">
        <v>114</v>
      </c>
      <c r="B119" s="349"/>
      <c r="C119" s="350">
        <f>D121+D122+D123+D124+D125+D126+D127+D128+D129+D130+D131+D132+D133+D134+D135+D136+D137+D138</f>
        <v>938376.8699999999</v>
      </c>
      <c r="D119" s="351"/>
    </row>
    <row r="120" spans="1:4" ht="23.25">
      <c r="A120" s="202" t="s">
        <v>465</v>
      </c>
      <c r="B120" s="349"/>
      <c r="C120" s="350">
        <v>1484000</v>
      </c>
      <c r="D120" s="351"/>
    </row>
    <row r="121" spans="1:4" ht="23.25">
      <c r="A121" s="439" t="s">
        <v>461</v>
      </c>
      <c r="B121" s="349"/>
      <c r="C121" s="350"/>
      <c r="D121" s="351">
        <v>142327</v>
      </c>
    </row>
    <row r="122" spans="1:4" ht="23.25">
      <c r="A122" s="439" t="s">
        <v>462</v>
      </c>
      <c r="B122" s="349"/>
      <c r="C122" s="350"/>
      <c r="D122" s="351">
        <v>47495.74</v>
      </c>
    </row>
    <row r="123" spans="1:4" ht="23.25">
      <c r="A123" s="439" t="s">
        <v>431</v>
      </c>
      <c r="B123" s="349"/>
      <c r="C123" s="350"/>
      <c r="D123" s="351">
        <v>23449</v>
      </c>
    </row>
    <row r="124" spans="1:4" ht="23.25">
      <c r="A124" s="439" t="s">
        <v>394</v>
      </c>
      <c r="B124" s="188"/>
      <c r="C124" s="350"/>
      <c r="D124" s="351">
        <f>99345+2500</f>
        <v>101845</v>
      </c>
    </row>
    <row r="125" spans="1:4" ht="23.25">
      <c r="A125" s="439" t="s">
        <v>432</v>
      </c>
      <c r="B125" s="188"/>
      <c r="C125" s="350"/>
      <c r="D125" s="351">
        <v>300</v>
      </c>
    </row>
    <row r="126" spans="1:4" ht="23.25">
      <c r="A126" s="439" t="s">
        <v>463</v>
      </c>
      <c r="B126" s="188"/>
      <c r="C126" s="350"/>
      <c r="D126" s="351">
        <v>1920</v>
      </c>
    </row>
    <row r="127" spans="1:4" ht="23.25">
      <c r="A127" s="439" t="s">
        <v>444</v>
      </c>
      <c r="B127" s="188"/>
      <c r="C127" s="350"/>
      <c r="D127" s="351">
        <v>20</v>
      </c>
    </row>
    <row r="128" spans="1:4" ht="23.25">
      <c r="A128" s="439" t="s">
        <v>396</v>
      </c>
      <c r="B128" s="188"/>
      <c r="C128" s="350"/>
      <c r="D128" s="351">
        <v>3315</v>
      </c>
    </row>
    <row r="129" spans="1:4" ht="23.25">
      <c r="A129" s="439" t="s">
        <v>457</v>
      </c>
      <c r="B129" s="188"/>
      <c r="C129" s="350"/>
      <c r="D129" s="351">
        <v>426.54</v>
      </c>
    </row>
    <row r="130" spans="1:4" ht="23.25">
      <c r="A130" s="439" t="s">
        <v>433</v>
      </c>
      <c r="B130" s="188"/>
      <c r="C130" s="350"/>
      <c r="D130" s="351">
        <v>415</v>
      </c>
    </row>
    <row r="131" spans="1:4" ht="23.25">
      <c r="A131" s="439" t="s">
        <v>434</v>
      </c>
      <c r="B131" s="188"/>
      <c r="C131" s="350"/>
      <c r="D131" s="351">
        <v>300</v>
      </c>
    </row>
    <row r="132" spans="1:4" ht="23.25">
      <c r="A132" s="439" t="s">
        <v>445</v>
      </c>
      <c r="B132" s="188"/>
      <c r="C132" s="350"/>
      <c r="D132" s="351">
        <v>1000</v>
      </c>
    </row>
    <row r="133" spans="1:4" ht="23.25">
      <c r="A133" s="439" t="s">
        <v>68</v>
      </c>
      <c r="B133" s="188"/>
      <c r="C133" s="350"/>
      <c r="D133" s="351">
        <v>25</v>
      </c>
    </row>
    <row r="134" spans="1:4" ht="23.25">
      <c r="A134" s="439" t="s">
        <v>446</v>
      </c>
      <c r="B134" s="188"/>
      <c r="C134" s="350"/>
      <c r="D134" s="351">
        <v>700</v>
      </c>
    </row>
    <row r="135" spans="1:4" ht="23.25">
      <c r="A135" s="439" t="s">
        <v>398</v>
      </c>
      <c r="B135" s="188"/>
      <c r="C135" s="350"/>
      <c r="D135" s="351">
        <v>305490.62</v>
      </c>
    </row>
    <row r="136" spans="1:4" ht="23.25">
      <c r="A136" s="439" t="s">
        <v>400</v>
      </c>
      <c r="B136" s="188"/>
      <c r="C136" s="350"/>
      <c r="D136" s="351">
        <v>142901.17</v>
      </c>
    </row>
    <row r="137" spans="1:4" ht="23.25">
      <c r="A137" s="439" t="s">
        <v>401</v>
      </c>
      <c r="B137" s="188"/>
      <c r="C137" s="350"/>
      <c r="D137" s="351">
        <v>154473.31</v>
      </c>
    </row>
    <row r="138" spans="1:4" ht="23.25">
      <c r="A138" s="439" t="s">
        <v>402</v>
      </c>
      <c r="B138" s="188"/>
      <c r="C138" s="350"/>
      <c r="D138" s="351">
        <v>11973.49</v>
      </c>
    </row>
    <row r="139" spans="1:4" ht="23.25">
      <c r="A139" s="439" t="s">
        <v>464</v>
      </c>
      <c r="B139" s="188"/>
      <c r="C139" s="350"/>
      <c r="D139" s="351">
        <v>1484000</v>
      </c>
    </row>
    <row r="140" spans="1:4" ht="23.25">
      <c r="A140" s="185"/>
      <c r="B140" s="188"/>
      <c r="C140" s="483">
        <f>SUM(C119:C138)</f>
        <v>2422376.87</v>
      </c>
      <c r="D140" s="483">
        <f>SUM(D121:D139)</f>
        <v>2422376.87</v>
      </c>
    </row>
    <row r="141" spans="1:4" ht="23.25">
      <c r="A141" s="354" t="s">
        <v>466</v>
      </c>
      <c r="B141" s="355"/>
      <c r="C141" s="355"/>
      <c r="D141" s="356"/>
    </row>
    <row r="142" spans="1:4" ht="23.25">
      <c r="A142" s="200"/>
      <c r="B142" s="48"/>
      <c r="C142" s="48"/>
      <c r="D142" s="426"/>
    </row>
    <row r="143" spans="1:4" ht="23.25">
      <c r="A143" s="200"/>
      <c r="B143" s="48"/>
      <c r="C143" s="48"/>
      <c r="D143" s="426"/>
    </row>
    <row r="144" spans="1:4" ht="23.25">
      <c r="A144" s="200" t="s">
        <v>467</v>
      </c>
      <c r="B144" s="48"/>
      <c r="C144" s="48"/>
      <c r="D144" s="426"/>
    </row>
    <row r="145" spans="1:4" ht="23.25">
      <c r="A145" s="200"/>
      <c r="B145" s="48"/>
      <c r="C145" s="48"/>
      <c r="D145" s="426"/>
    </row>
    <row r="146" spans="1:4" ht="23.25">
      <c r="A146" s="365"/>
      <c r="B146" s="366"/>
      <c r="C146" s="366"/>
      <c r="D146" s="367"/>
    </row>
  </sheetData>
  <sheetProtection/>
  <mergeCells count="12">
    <mergeCell ref="A79:D79"/>
    <mergeCell ref="A80:D80"/>
    <mergeCell ref="A81:D81"/>
    <mergeCell ref="A114:D114"/>
    <mergeCell ref="A115:D115"/>
    <mergeCell ref="A116:D116"/>
    <mergeCell ref="A1:D1"/>
    <mergeCell ref="A2:D2"/>
    <mergeCell ref="A3:D3"/>
    <mergeCell ref="A45:D45"/>
    <mergeCell ref="A46:D46"/>
    <mergeCell ref="A47:D47"/>
  </mergeCells>
  <printOptions/>
  <pageMargins left="0.9055118110236221" right="0.15748031496062992" top="0.64" bottom="0.59" header="0.15748031496062992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74"/>
  <sheetViews>
    <sheetView view="pageBreakPreview" zoomScaleSheetLayoutView="100" zoomScalePageLayoutView="0" workbookViewId="0" topLeftCell="A59">
      <selection activeCell="I64" sqref="I64"/>
    </sheetView>
  </sheetViews>
  <sheetFormatPr defaultColWidth="9.140625" defaultRowHeight="21.75"/>
  <cols>
    <col min="1" max="1" width="16.28125" style="14" customWidth="1"/>
    <col min="2" max="2" width="17.28125" style="14" customWidth="1"/>
    <col min="3" max="3" width="11.28125" style="14" customWidth="1"/>
    <col min="4" max="4" width="10.140625" style="14" customWidth="1"/>
    <col min="5" max="5" width="12.421875" style="14" customWidth="1"/>
    <col min="6" max="6" width="9.140625" style="14" customWidth="1"/>
    <col min="7" max="7" width="16.57421875" style="14" customWidth="1"/>
    <col min="8" max="8" width="11.7109375" style="14" bestFit="1" customWidth="1"/>
    <col min="9" max="9" width="14.8515625" style="14" customWidth="1"/>
    <col min="10" max="10" width="10.00390625" style="14" bestFit="1" customWidth="1"/>
    <col min="11" max="16384" width="9.140625" style="14" customWidth="1"/>
  </cols>
  <sheetData>
    <row r="1" spans="1:7" ht="59.25" customHeight="1">
      <c r="A1" s="122" t="s">
        <v>513</v>
      </c>
      <c r="B1" s="122"/>
      <c r="C1" s="122"/>
      <c r="D1" s="122"/>
      <c r="E1" s="122"/>
      <c r="F1" s="122"/>
      <c r="G1" s="122"/>
    </row>
    <row r="2" spans="1:7" ht="23.25">
      <c r="A2" s="122" t="s">
        <v>58</v>
      </c>
      <c r="B2" s="122"/>
      <c r="C2" s="122"/>
      <c r="D2" s="122"/>
      <c r="E2" s="122"/>
      <c r="F2" s="122"/>
      <c r="G2" s="122" t="s">
        <v>536</v>
      </c>
    </row>
    <row r="3" spans="1:7" ht="23.25">
      <c r="A3" s="590" t="s">
        <v>59</v>
      </c>
      <c r="B3" s="590"/>
      <c r="C3" s="590"/>
      <c r="D3" s="590"/>
      <c r="E3" s="590"/>
      <c r="F3" s="590"/>
      <c r="G3" s="590"/>
    </row>
    <row r="4" spans="1:7" ht="23.25">
      <c r="A4" s="123"/>
      <c r="B4" s="123"/>
      <c r="C4" s="123"/>
      <c r="D4" s="123"/>
      <c r="E4" s="123"/>
      <c r="F4" s="123" t="s">
        <v>571</v>
      </c>
      <c r="G4" s="123"/>
    </row>
    <row r="5" spans="1:7" ht="16.5" customHeight="1">
      <c r="A5" s="123"/>
      <c r="B5" s="123"/>
      <c r="C5" s="123"/>
      <c r="D5" s="123"/>
      <c r="E5" s="123"/>
      <c r="F5" s="123"/>
      <c r="G5" s="123"/>
    </row>
    <row r="6" spans="1:7" ht="23.25">
      <c r="A6" s="573" t="s">
        <v>60</v>
      </c>
      <c r="B6" s="574"/>
      <c r="C6" s="575" t="s">
        <v>36</v>
      </c>
      <c r="D6" s="576"/>
      <c r="E6" s="564"/>
      <c r="F6" s="564" t="s">
        <v>35</v>
      </c>
      <c r="G6" s="124" t="s">
        <v>63</v>
      </c>
    </row>
    <row r="7" spans="1:7" ht="23.25">
      <c r="A7" s="125" t="s">
        <v>61</v>
      </c>
      <c r="B7" s="126" t="s">
        <v>62</v>
      </c>
      <c r="C7" s="577"/>
      <c r="D7" s="578"/>
      <c r="E7" s="565"/>
      <c r="F7" s="565"/>
      <c r="G7" s="127" t="s">
        <v>62</v>
      </c>
    </row>
    <row r="8" spans="1:7" ht="23.25">
      <c r="A8" s="128" t="s">
        <v>54</v>
      </c>
      <c r="B8" s="129" t="s">
        <v>54</v>
      </c>
      <c r="C8" s="579"/>
      <c r="D8" s="580"/>
      <c r="E8" s="566"/>
      <c r="F8" s="566"/>
      <c r="G8" s="130" t="s">
        <v>54</v>
      </c>
    </row>
    <row r="9" spans="1:7" ht="23.25">
      <c r="A9" s="131"/>
      <c r="B9" s="132">
        <v>27948441.37</v>
      </c>
      <c r="C9" s="591" t="s">
        <v>64</v>
      </c>
      <c r="D9" s="582"/>
      <c r="E9" s="583"/>
      <c r="F9" s="133"/>
      <c r="G9" s="134">
        <v>35084991.47</v>
      </c>
    </row>
    <row r="10" spans="1:7" ht="23.25">
      <c r="A10" s="127"/>
      <c r="B10" s="135"/>
      <c r="C10" s="588" t="s">
        <v>93</v>
      </c>
      <c r="D10" s="585"/>
      <c r="E10" s="586"/>
      <c r="F10" s="136"/>
      <c r="G10" s="137"/>
    </row>
    <row r="11" spans="1:9" ht="23.25">
      <c r="A11" s="138">
        <v>1231000</v>
      </c>
      <c r="B11" s="135">
        <f>G11+1123641.48</f>
        <v>1251886.18</v>
      </c>
      <c r="C11" s="567" t="s">
        <v>65</v>
      </c>
      <c r="D11" s="563"/>
      <c r="E11" s="568"/>
      <c r="F11" s="139" t="s">
        <v>71</v>
      </c>
      <c r="G11" s="135">
        <f>23071.7+38501+66672</f>
        <v>128244.7</v>
      </c>
      <c r="H11" s="140"/>
      <c r="I11" s="140"/>
    </row>
    <row r="12" spans="1:7" ht="23.25">
      <c r="A12" s="138">
        <v>657000</v>
      </c>
      <c r="B12" s="135">
        <f>G12+442364</f>
        <v>509302</v>
      </c>
      <c r="C12" s="567" t="s">
        <v>66</v>
      </c>
      <c r="D12" s="563"/>
      <c r="E12" s="568"/>
      <c r="F12" s="139" t="s">
        <v>72</v>
      </c>
      <c r="G12" s="135">
        <f>176+64645+350+60+10+1697</f>
        <v>66938</v>
      </c>
    </row>
    <row r="13" spans="1:10" ht="23.25">
      <c r="A13" s="138">
        <v>215000</v>
      </c>
      <c r="B13" s="135">
        <f>G13+69856.82</f>
        <v>84041.98000000001</v>
      </c>
      <c r="C13" s="567" t="s">
        <v>67</v>
      </c>
      <c r="D13" s="563"/>
      <c r="E13" s="568"/>
      <c r="F13" s="139" t="s">
        <v>73</v>
      </c>
      <c r="G13" s="135">
        <v>14185.16</v>
      </c>
      <c r="H13" s="140"/>
      <c r="I13" s="140"/>
      <c r="J13" s="140"/>
    </row>
    <row r="14" spans="1:7" ht="23.25">
      <c r="A14" s="138">
        <v>96300</v>
      </c>
      <c r="B14" s="135">
        <f>G14+189770.12</f>
        <v>195770.12</v>
      </c>
      <c r="C14" s="567" t="s">
        <v>68</v>
      </c>
      <c r="D14" s="563"/>
      <c r="E14" s="568"/>
      <c r="F14" s="139" t="s">
        <v>74</v>
      </c>
      <c r="G14" s="135">
        <v>6000</v>
      </c>
    </row>
    <row r="15" spans="1:7" ht="23.25">
      <c r="A15" s="141">
        <v>16100700</v>
      </c>
      <c r="B15" s="135">
        <f>G15+7473379.08</f>
        <v>11917284.04</v>
      </c>
      <c r="C15" s="567" t="s">
        <v>69</v>
      </c>
      <c r="D15" s="563"/>
      <c r="E15" s="568"/>
      <c r="F15" s="139" t="s">
        <v>75</v>
      </c>
      <c r="G15" s="135">
        <f>2599513.03+603781.88+26434.25+244719.91+541663.18+22968.56+27198.15+377626</f>
        <v>4443904.96</v>
      </c>
    </row>
    <row r="16" spans="1:7" ht="23.25">
      <c r="A16" s="141">
        <v>10700000</v>
      </c>
      <c r="B16" s="135">
        <f>G16+7451880</f>
        <v>7451880</v>
      </c>
      <c r="C16" s="567" t="s">
        <v>70</v>
      </c>
      <c r="D16" s="563"/>
      <c r="E16" s="568"/>
      <c r="F16" s="139" t="s">
        <v>76</v>
      </c>
      <c r="G16" s="135">
        <v>0</v>
      </c>
    </row>
    <row r="17" spans="1:7" ht="24" thickBot="1">
      <c r="A17" s="142">
        <f>SUM(A11:A16)</f>
        <v>29000000</v>
      </c>
      <c r="B17" s="143">
        <f>SUM(B11:B16)</f>
        <v>21410164.32</v>
      </c>
      <c r="C17" s="584"/>
      <c r="D17" s="585"/>
      <c r="E17" s="586"/>
      <c r="F17" s="144"/>
      <c r="G17" s="143">
        <f>SUM(G11:G16)</f>
        <v>4659272.82</v>
      </c>
    </row>
    <row r="18" spans="1:7" ht="24" thickTop="1">
      <c r="A18" s="287">
        <f>A17-B17</f>
        <v>7589835.68</v>
      </c>
      <c r="B18" s="146"/>
      <c r="C18" s="96" t="s">
        <v>169</v>
      </c>
      <c r="D18" s="97"/>
      <c r="E18" s="98"/>
      <c r="F18" s="144"/>
      <c r="G18" s="147"/>
    </row>
    <row r="19" spans="1:7" ht="23.25">
      <c r="A19" s="287"/>
      <c r="B19" s="531">
        <f>G19+7032249.29</f>
        <v>12900463.18</v>
      </c>
      <c r="C19" s="521" t="s">
        <v>538</v>
      </c>
      <c r="D19" s="97"/>
      <c r="E19" s="98"/>
      <c r="F19" s="144"/>
      <c r="G19" s="522">
        <v>5868213.89</v>
      </c>
    </row>
    <row r="20" spans="1:7" ht="23.25">
      <c r="A20" s="287"/>
      <c r="B20" s="531">
        <f>G20+12900</f>
        <v>12900</v>
      </c>
      <c r="C20" s="110" t="s">
        <v>82</v>
      </c>
      <c r="F20" s="144"/>
      <c r="G20" s="522">
        <v>0</v>
      </c>
    </row>
    <row r="21" spans="1:7" ht="23.25">
      <c r="A21" s="287"/>
      <c r="B21" s="531">
        <f>G21+49140</f>
        <v>49140</v>
      </c>
      <c r="C21" s="567" t="s">
        <v>81</v>
      </c>
      <c r="D21" s="563"/>
      <c r="E21" s="568"/>
      <c r="F21" s="144"/>
      <c r="G21" s="522">
        <v>0</v>
      </c>
    </row>
    <row r="22" spans="1:7" ht="23.25">
      <c r="A22" s="145"/>
      <c r="B22" s="272">
        <f>G22+27426</f>
        <v>27426</v>
      </c>
      <c r="C22" s="94" t="s">
        <v>49</v>
      </c>
      <c r="D22" s="97"/>
      <c r="E22" s="98"/>
      <c r="F22" s="144"/>
      <c r="G22" s="156">
        <v>0</v>
      </c>
    </row>
    <row r="23" spans="1:7" ht="23.25">
      <c r="A23" s="148"/>
      <c r="B23" s="135">
        <f>G23+118961.12</f>
        <v>168370.86</v>
      </c>
      <c r="C23" s="567" t="s">
        <v>50</v>
      </c>
      <c r="D23" s="563"/>
      <c r="E23" s="568"/>
      <c r="F23" s="127">
        <v>900</v>
      </c>
      <c r="G23" s="135">
        <f>1624.32+8196.64+39588.78</f>
        <v>49409.74</v>
      </c>
    </row>
    <row r="24" spans="1:7" ht="23.25">
      <c r="A24" s="29"/>
      <c r="B24" s="149">
        <f>B19+B20+B21+B22+B23</f>
        <v>13158300.04</v>
      </c>
      <c r="C24" s="585"/>
      <c r="D24" s="585"/>
      <c r="E24" s="585"/>
      <c r="F24" s="144"/>
      <c r="G24" s="149">
        <f>G19+G20+G21+G22+G23</f>
        <v>5917623.63</v>
      </c>
    </row>
    <row r="25" spans="1:7" ht="24" thickBot="1">
      <c r="A25" s="29"/>
      <c r="B25" s="143">
        <f>B17+B24</f>
        <v>34568464.36</v>
      </c>
      <c r="C25" s="589" t="s">
        <v>77</v>
      </c>
      <c r="D25" s="589"/>
      <c r="E25" s="589"/>
      <c r="F25" s="150"/>
      <c r="G25" s="151">
        <f>G17+G24</f>
        <v>10576896.45</v>
      </c>
    </row>
    <row r="26" spans="1:7" ht="24" thickTop="1">
      <c r="A26" s="152"/>
      <c r="B26" s="153"/>
      <c r="C26" s="587"/>
      <c r="D26" s="587"/>
      <c r="E26" s="587"/>
      <c r="F26" s="51"/>
      <c r="G26" s="152"/>
    </row>
    <row r="27" spans="1:7" ht="23.25">
      <c r="A27" s="152"/>
      <c r="B27" s="153"/>
      <c r="C27" s="154"/>
      <c r="D27" s="154"/>
      <c r="E27" s="154"/>
      <c r="F27" s="51"/>
      <c r="G27" s="152"/>
    </row>
    <row r="28" spans="1:7" ht="23.25">
      <c r="A28" s="152"/>
      <c r="B28" s="153"/>
      <c r="C28" s="154"/>
      <c r="D28" s="154"/>
      <c r="E28" s="154"/>
      <c r="F28" s="51"/>
      <c r="G28" s="152"/>
    </row>
    <row r="29" spans="1:7" ht="23.25">
      <c r="A29" s="152"/>
      <c r="B29" s="153"/>
      <c r="C29" s="154"/>
      <c r="D29" s="154"/>
      <c r="E29" s="154"/>
      <c r="F29" s="51"/>
      <c r="G29" s="152"/>
    </row>
    <row r="30" spans="1:7" ht="23.25">
      <c r="A30" s="152"/>
      <c r="B30" s="153"/>
      <c r="C30" s="154"/>
      <c r="D30" s="154"/>
      <c r="E30" s="154"/>
      <c r="F30" s="51"/>
      <c r="G30" s="152"/>
    </row>
    <row r="31" spans="1:7" ht="23.25">
      <c r="A31" s="152"/>
      <c r="B31" s="153"/>
      <c r="C31" s="154"/>
      <c r="D31" s="154"/>
      <c r="E31" s="154"/>
      <c r="F31" s="51"/>
      <c r="G31" s="152"/>
    </row>
    <row r="32" spans="1:7" ht="23.25">
      <c r="A32" s="152"/>
      <c r="B32" s="152"/>
      <c r="C32" s="587"/>
      <c r="D32" s="587"/>
      <c r="E32" s="587"/>
      <c r="F32" s="152"/>
      <c r="G32" s="152"/>
    </row>
    <row r="33" spans="1:7" ht="23.25">
      <c r="A33" s="152"/>
      <c r="B33" s="152"/>
      <c r="C33" s="154"/>
      <c r="D33" s="154"/>
      <c r="E33" s="154"/>
      <c r="F33" s="152"/>
      <c r="G33" s="152"/>
    </row>
    <row r="34" spans="1:7" ht="23.25">
      <c r="A34" s="152"/>
      <c r="B34" s="152"/>
      <c r="C34" s="154"/>
      <c r="D34" s="154"/>
      <c r="E34" s="154"/>
      <c r="F34" s="152"/>
      <c r="G34" s="152"/>
    </row>
    <row r="35" spans="1:7" ht="23.25">
      <c r="A35" s="152"/>
      <c r="B35" s="152"/>
      <c r="C35" s="154"/>
      <c r="D35" s="154"/>
      <c r="E35" s="154"/>
      <c r="F35" s="152"/>
      <c r="G35" s="152"/>
    </row>
    <row r="36" spans="1:7" ht="23.25">
      <c r="A36" s="572" t="s">
        <v>96</v>
      </c>
      <c r="B36" s="572"/>
      <c r="C36" s="572"/>
      <c r="D36" s="572"/>
      <c r="E36" s="572"/>
      <c r="F36" s="572"/>
      <c r="G36" s="572"/>
    </row>
    <row r="37" spans="1:7" ht="23.25">
      <c r="A37" s="573" t="s">
        <v>60</v>
      </c>
      <c r="B37" s="574"/>
      <c r="C37" s="575" t="s">
        <v>36</v>
      </c>
      <c r="D37" s="576"/>
      <c r="E37" s="564"/>
      <c r="F37" s="564" t="s">
        <v>35</v>
      </c>
      <c r="G37" s="124" t="s">
        <v>63</v>
      </c>
    </row>
    <row r="38" spans="1:7" ht="23.25">
      <c r="A38" s="125" t="s">
        <v>61</v>
      </c>
      <c r="B38" s="126" t="s">
        <v>62</v>
      </c>
      <c r="C38" s="577"/>
      <c r="D38" s="578"/>
      <c r="E38" s="565"/>
      <c r="F38" s="565"/>
      <c r="G38" s="127" t="s">
        <v>62</v>
      </c>
    </row>
    <row r="39" spans="1:7" ht="23.25">
      <c r="A39" s="128" t="s">
        <v>54</v>
      </c>
      <c r="B39" s="129" t="s">
        <v>54</v>
      </c>
      <c r="C39" s="579"/>
      <c r="D39" s="580"/>
      <c r="E39" s="566"/>
      <c r="F39" s="566"/>
      <c r="G39" s="130" t="s">
        <v>54</v>
      </c>
    </row>
    <row r="40" spans="1:7" ht="23.25">
      <c r="A40" s="131"/>
      <c r="B40" s="131"/>
      <c r="C40" s="581" t="s">
        <v>78</v>
      </c>
      <c r="D40" s="582"/>
      <c r="E40" s="583"/>
      <c r="F40" s="133"/>
      <c r="G40" s="155"/>
    </row>
    <row r="41" spans="1:9" ht="23.25">
      <c r="A41" s="518">
        <v>2339450</v>
      </c>
      <c r="B41" s="135">
        <f>G41+228239.92</f>
        <v>250803.24000000002</v>
      </c>
      <c r="C41" s="567" t="s">
        <v>48</v>
      </c>
      <c r="D41" s="563"/>
      <c r="E41" s="568"/>
      <c r="F41" s="139" t="s">
        <v>51</v>
      </c>
      <c r="G41" s="135">
        <v>22563.32</v>
      </c>
      <c r="I41" s="519"/>
    </row>
    <row r="42" spans="1:9" ht="23.25">
      <c r="A42" s="518">
        <v>8973380</v>
      </c>
      <c r="B42" s="135">
        <f>G42+2856642.82</f>
        <v>3445617.82</v>
      </c>
      <c r="C42" s="567" t="s">
        <v>42</v>
      </c>
      <c r="D42" s="563"/>
      <c r="E42" s="568"/>
      <c r="F42" s="127">
        <v>100</v>
      </c>
      <c r="G42" s="135">
        <v>588975</v>
      </c>
      <c r="I42" s="520"/>
    </row>
    <row r="43" spans="1:9" ht="23.25">
      <c r="A43" s="518">
        <v>1531920</v>
      </c>
      <c r="B43" s="135">
        <f>G43+771360</f>
        <v>899920</v>
      </c>
      <c r="C43" s="567" t="s">
        <v>56</v>
      </c>
      <c r="D43" s="563"/>
      <c r="E43" s="568"/>
      <c r="F43" s="127">
        <v>130</v>
      </c>
      <c r="G43" s="135">
        <v>128560</v>
      </c>
      <c r="I43" s="520"/>
    </row>
    <row r="44" spans="1:9" ht="23.25">
      <c r="A44" s="518">
        <v>691900</v>
      </c>
      <c r="B44" s="135">
        <f>G44+235085.5</f>
        <v>258396.5</v>
      </c>
      <c r="C44" s="567" t="s">
        <v>43</v>
      </c>
      <c r="D44" s="563"/>
      <c r="E44" s="568"/>
      <c r="F44" s="127">
        <v>200</v>
      </c>
      <c r="G44" s="135">
        <v>23311</v>
      </c>
      <c r="I44" s="519"/>
    </row>
    <row r="45" spans="1:9" ht="23.25">
      <c r="A45" s="518">
        <v>5735250</v>
      </c>
      <c r="B45" s="135">
        <f>G45+2020474.41</f>
        <v>2333352.6799999997</v>
      </c>
      <c r="C45" s="567" t="s">
        <v>44</v>
      </c>
      <c r="D45" s="563"/>
      <c r="E45" s="568"/>
      <c r="F45" s="127">
        <v>250</v>
      </c>
      <c r="G45" s="135">
        <f>85591.02+227287.25</f>
        <v>312878.27</v>
      </c>
      <c r="I45" s="519"/>
    </row>
    <row r="46" spans="1:9" ht="23.25">
      <c r="A46" s="518">
        <v>2276400</v>
      </c>
      <c r="B46" s="135">
        <f>G46+672703.47</f>
        <v>872087.07</v>
      </c>
      <c r="C46" s="567" t="s">
        <v>45</v>
      </c>
      <c r="D46" s="563"/>
      <c r="E46" s="568"/>
      <c r="F46" s="127">
        <v>270</v>
      </c>
      <c r="G46" s="135">
        <v>199383.6</v>
      </c>
      <c r="I46" s="520"/>
    </row>
    <row r="47" spans="1:9" ht="23.25">
      <c r="A47" s="518">
        <v>514000</v>
      </c>
      <c r="B47" s="135">
        <f>G47+233727.94</f>
        <v>271718.13</v>
      </c>
      <c r="C47" s="567" t="s">
        <v>46</v>
      </c>
      <c r="D47" s="563"/>
      <c r="E47" s="568"/>
      <c r="F47" s="127">
        <v>300</v>
      </c>
      <c r="G47" s="135">
        <v>37990.19</v>
      </c>
      <c r="I47" s="519"/>
    </row>
    <row r="48" spans="1:9" ht="23.25">
      <c r="A48" s="518">
        <v>3085600</v>
      </c>
      <c r="B48" s="135">
        <f>+G48+669400</f>
        <v>734400</v>
      </c>
      <c r="C48" s="567" t="s">
        <v>47</v>
      </c>
      <c r="D48" s="563"/>
      <c r="E48" s="568"/>
      <c r="F48" s="127">
        <v>400</v>
      </c>
      <c r="G48" s="135">
        <v>65000</v>
      </c>
      <c r="I48" s="520"/>
    </row>
    <row r="49" spans="1:9" ht="23.25">
      <c r="A49" s="518">
        <v>1562100</v>
      </c>
      <c r="B49" s="135">
        <f>G49+129550</f>
        <v>259450</v>
      </c>
      <c r="C49" s="94" t="s">
        <v>79</v>
      </c>
      <c r="D49" s="90"/>
      <c r="E49" s="95"/>
      <c r="F49" s="127">
        <v>450</v>
      </c>
      <c r="G49" s="135">
        <v>129900</v>
      </c>
      <c r="I49" s="520"/>
    </row>
    <row r="50" spans="1:9" ht="23.25">
      <c r="A50" s="518">
        <v>2210000</v>
      </c>
      <c r="B50" s="135">
        <f>G50</f>
        <v>0</v>
      </c>
      <c r="C50" s="567" t="s">
        <v>80</v>
      </c>
      <c r="D50" s="563"/>
      <c r="E50" s="568"/>
      <c r="F50" s="127">
        <v>500</v>
      </c>
      <c r="G50" s="135">
        <v>0</v>
      </c>
      <c r="I50" s="520"/>
    </row>
    <row r="51" spans="1:9" ht="23.25">
      <c r="A51" s="517">
        <v>80000</v>
      </c>
      <c r="B51" s="135">
        <f>G51</f>
        <v>0</v>
      </c>
      <c r="C51" s="94" t="s">
        <v>122</v>
      </c>
      <c r="D51" s="90"/>
      <c r="E51" s="95"/>
      <c r="F51" s="127">
        <v>550</v>
      </c>
      <c r="G51" s="135">
        <v>0</v>
      </c>
      <c r="I51" s="520"/>
    </row>
    <row r="52" spans="1:7" ht="24" thickBot="1">
      <c r="A52" s="151">
        <f>SUM(A41:A51)</f>
        <v>29000000</v>
      </c>
      <c r="B52" s="143">
        <f>SUM(B41:B51)</f>
        <v>9325745.440000001</v>
      </c>
      <c r="C52" s="584"/>
      <c r="D52" s="585"/>
      <c r="E52" s="586"/>
      <c r="F52" s="144"/>
      <c r="G52" s="143">
        <f>SUM(G41:G51)</f>
        <v>1508561.38</v>
      </c>
    </row>
    <row r="53" spans="1:7" ht="24" thickTop="1">
      <c r="A53" s="29"/>
      <c r="B53" s="135">
        <f>G53+1029462</f>
        <v>1029462</v>
      </c>
      <c r="C53" s="567" t="s">
        <v>55</v>
      </c>
      <c r="D53" s="563"/>
      <c r="E53" s="568"/>
      <c r="F53" s="158">
        <v>600</v>
      </c>
      <c r="G53" s="135">
        <v>0</v>
      </c>
    </row>
    <row r="54" spans="1:7" ht="23.25">
      <c r="A54" s="29"/>
      <c r="B54" s="135">
        <f>G54+1355197.12</f>
        <v>1355197.12</v>
      </c>
      <c r="C54" s="94" t="s">
        <v>305</v>
      </c>
      <c r="D54" s="90"/>
      <c r="E54" s="90"/>
      <c r="F54" s="158"/>
      <c r="G54" s="135">
        <v>0</v>
      </c>
    </row>
    <row r="55" spans="1:9" ht="23.25">
      <c r="A55" s="29"/>
      <c r="B55" s="135">
        <f>G55+288351.4</f>
        <v>4544081.680000001</v>
      </c>
      <c r="C55" s="94" t="s">
        <v>527</v>
      </c>
      <c r="D55" s="90"/>
      <c r="E55" s="90"/>
      <c r="F55" s="158"/>
      <c r="G55" s="135">
        <v>4255730.28</v>
      </c>
      <c r="I55" s="140"/>
    </row>
    <row r="56" spans="1:9" ht="23.25">
      <c r="A56" s="29"/>
      <c r="B56" s="135">
        <f>G56</f>
        <v>0</v>
      </c>
      <c r="C56" s="94" t="s">
        <v>49</v>
      </c>
      <c r="D56" s="90"/>
      <c r="E56" s="90"/>
      <c r="F56" s="158">
        <v>700</v>
      </c>
      <c r="G56" s="135">
        <v>0</v>
      </c>
      <c r="I56" s="140"/>
    </row>
    <row r="57" spans="1:9" ht="23.25">
      <c r="A57" s="29"/>
      <c r="B57" s="135">
        <f>G57</f>
        <v>0</v>
      </c>
      <c r="C57" s="94" t="s">
        <v>282</v>
      </c>
      <c r="D57" s="90"/>
      <c r="E57" s="90"/>
      <c r="F57" s="158"/>
      <c r="G57" s="135">
        <v>0</v>
      </c>
      <c r="I57" s="140"/>
    </row>
    <row r="58" spans="1:9" ht="23.25">
      <c r="A58" s="29"/>
      <c r="B58" s="135">
        <f>G58+2685120</f>
        <v>3510060</v>
      </c>
      <c r="C58" s="110" t="s">
        <v>82</v>
      </c>
      <c r="F58" s="159">
        <v>704</v>
      </c>
      <c r="G58" s="135">
        <v>824940</v>
      </c>
      <c r="I58" s="140"/>
    </row>
    <row r="59" spans="1:8" ht="23.25">
      <c r="A59" s="29"/>
      <c r="B59" s="135">
        <f>G59+2817282</f>
        <v>2948658</v>
      </c>
      <c r="C59" s="567" t="s">
        <v>81</v>
      </c>
      <c r="D59" s="563"/>
      <c r="E59" s="568"/>
      <c r="F59" s="139" t="s">
        <v>57</v>
      </c>
      <c r="G59" s="135">
        <v>131376</v>
      </c>
      <c r="H59" s="50"/>
    </row>
    <row r="60" spans="1:9" ht="23.25">
      <c r="A60" s="29"/>
      <c r="B60" s="135">
        <f>G60+862421.23</f>
        <v>887255.1699999999</v>
      </c>
      <c r="C60" s="94" t="s">
        <v>50</v>
      </c>
      <c r="D60" s="90"/>
      <c r="E60" s="95"/>
      <c r="F60" s="160" t="s">
        <v>94</v>
      </c>
      <c r="G60" s="135">
        <v>24833.94</v>
      </c>
      <c r="H60" s="50"/>
      <c r="I60" s="413"/>
    </row>
    <row r="61" spans="1:7" ht="23.25">
      <c r="A61" s="29"/>
      <c r="B61" s="161">
        <f>SUM(B53:B60)</f>
        <v>14274713.97</v>
      </c>
      <c r="C61" s="569"/>
      <c r="D61" s="569"/>
      <c r="E61" s="569"/>
      <c r="F61" s="29"/>
      <c r="G61" s="161">
        <f>SUM(G53:G60)</f>
        <v>5236880.220000001</v>
      </c>
    </row>
    <row r="62" spans="1:8" ht="23.25">
      <c r="A62" s="148"/>
      <c r="B62" s="161">
        <f>SUM(B52+B61)</f>
        <v>23600459.410000004</v>
      </c>
      <c r="C62" s="570" t="s">
        <v>90</v>
      </c>
      <c r="D62" s="569"/>
      <c r="E62" s="569"/>
      <c r="F62" s="571"/>
      <c r="G62" s="161">
        <f>G52+G61</f>
        <v>6745441.600000001</v>
      </c>
      <c r="H62" s="140"/>
    </row>
    <row r="63" spans="1:7" ht="23.25">
      <c r="A63" s="29"/>
      <c r="B63" s="135">
        <f>+B25-B62</f>
        <v>10968004.949999996</v>
      </c>
      <c r="C63" s="570" t="s">
        <v>91</v>
      </c>
      <c r="D63" s="569"/>
      <c r="E63" s="569"/>
      <c r="F63" s="571"/>
      <c r="G63" s="135">
        <f>+G25-G62</f>
        <v>3831454.8499999987</v>
      </c>
    </row>
    <row r="64" spans="1:7" ht="23.25">
      <c r="A64" s="162"/>
      <c r="B64" s="135"/>
      <c r="C64" s="28" t="s">
        <v>111</v>
      </c>
      <c r="D64" s="29"/>
      <c r="E64" s="29"/>
      <c r="F64" s="29" t="s">
        <v>78</v>
      </c>
      <c r="G64" s="135"/>
    </row>
    <row r="65" spans="1:7" ht="23.25">
      <c r="A65" s="163"/>
      <c r="B65" s="135"/>
      <c r="C65" s="570" t="s">
        <v>95</v>
      </c>
      <c r="D65" s="569"/>
      <c r="E65" s="569"/>
      <c r="F65" s="571"/>
      <c r="G65" s="135"/>
    </row>
    <row r="66" spans="1:9" ht="24" thickBot="1">
      <c r="A66" s="164"/>
      <c r="B66" s="143">
        <f>B9+B63</f>
        <v>38916446.31999999</v>
      </c>
      <c r="C66" s="570" t="s">
        <v>83</v>
      </c>
      <c r="D66" s="569"/>
      <c r="E66" s="569"/>
      <c r="F66" s="571"/>
      <c r="G66" s="143">
        <f>G9+G63</f>
        <v>38916446.32</v>
      </c>
      <c r="I66" s="140">
        <f>G66-งบทดลอง1!H15</f>
        <v>0</v>
      </c>
    </row>
    <row r="67" spans="1:9" ht="24" thickTop="1">
      <c r="A67" s="164"/>
      <c r="B67" s="165"/>
      <c r="C67" s="29"/>
      <c r="D67" s="29"/>
      <c r="E67" s="29"/>
      <c r="F67" s="29"/>
      <c r="G67" s="165"/>
      <c r="I67" s="35">
        <f>+B66-G66</f>
        <v>0</v>
      </c>
    </row>
    <row r="68" spans="1:7" ht="23.25">
      <c r="A68" s="123"/>
      <c r="B68" s="165"/>
      <c r="C68" s="342">
        <f>B66-G66</f>
        <v>0</v>
      </c>
      <c r="D68" s="29"/>
      <c r="E68" s="29"/>
      <c r="F68" s="29"/>
      <c r="G68" s="165"/>
    </row>
    <row r="69" spans="1:7" ht="23.25">
      <c r="A69" s="28"/>
      <c r="B69" s="28"/>
      <c r="C69" s="28"/>
      <c r="D69" s="28"/>
      <c r="E69" s="28"/>
      <c r="F69" s="29"/>
      <c r="G69" s="166"/>
    </row>
    <row r="70" spans="1:7" ht="23.25">
      <c r="A70" s="28"/>
      <c r="B70" s="28"/>
      <c r="C70" s="28"/>
      <c r="D70" s="28"/>
      <c r="E70" s="28"/>
      <c r="F70" s="28"/>
      <c r="G70" s="167"/>
    </row>
    <row r="71" spans="1:7" ht="23.25">
      <c r="A71" s="28"/>
      <c r="B71" s="28"/>
      <c r="C71" s="28"/>
      <c r="D71" s="28"/>
      <c r="E71" s="28"/>
      <c r="F71" s="28"/>
      <c r="G71" s="28"/>
    </row>
    <row r="72" spans="1:7" ht="23.25">
      <c r="A72" s="29"/>
      <c r="B72" s="29"/>
      <c r="C72" s="29"/>
      <c r="D72" s="29"/>
      <c r="E72" s="29"/>
      <c r="F72" s="29"/>
      <c r="G72" s="29"/>
    </row>
    <row r="73" spans="1:7" ht="23.25">
      <c r="A73" s="29"/>
      <c r="B73" s="29"/>
      <c r="C73" s="29"/>
      <c r="D73" s="29"/>
      <c r="E73" s="29"/>
      <c r="F73" s="29"/>
      <c r="G73" s="29"/>
    </row>
    <row r="74" spans="1:7" ht="23.25">
      <c r="A74" s="29"/>
      <c r="B74" s="270">
        <f>G66-B66</f>
        <v>0</v>
      </c>
      <c r="C74" s="29"/>
      <c r="D74" s="29"/>
      <c r="E74" s="29"/>
      <c r="F74" s="29"/>
      <c r="G74" s="29"/>
    </row>
  </sheetData>
  <sheetProtection/>
  <mergeCells count="41">
    <mergeCell ref="A3:G3"/>
    <mergeCell ref="A6:B6"/>
    <mergeCell ref="C6:E8"/>
    <mergeCell ref="F6:F8"/>
    <mergeCell ref="C9:E9"/>
    <mergeCell ref="C10:E10"/>
    <mergeCell ref="C12:E12"/>
    <mergeCell ref="C17:E17"/>
    <mergeCell ref="C25:E25"/>
    <mergeCell ref="C23:E23"/>
    <mergeCell ref="C32:E32"/>
    <mergeCell ref="C13:E13"/>
    <mergeCell ref="C16:E16"/>
    <mergeCell ref="C15:E15"/>
    <mergeCell ref="C11:E11"/>
    <mergeCell ref="C45:E45"/>
    <mergeCell ref="C52:E52"/>
    <mergeCell ref="C26:E26"/>
    <mergeCell ref="C42:E42"/>
    <mergeCell ref="C24:E24"/>
    <mergeCell ref="C14:E14"/>
    <mergeCell ref="C40:E40"/>
    <mergeCell ref="C63:F63"/>
    <mergeCell ref="C47:E47"/>
    <mergeCell ref="C65:F65"/>
    <mergeCell ref="C46:E46"/>
    <mergeCell ref="C21:E21"/>
    <mergeCell ref="C53:E53"/>
    <mergeCell ref="C43:E43"/>
    <mergeCell ref="C62:F62"/>
    <mergeCell ref="C59:E59"/>
    <mergeCell ref="F37:F39"/>
    <mergeCell ref="C48:E48"/>
    <mergeCell ref="C61:E61"/>
    <mergeCell ref="C66:F66"/>
    <mergeCell ref="A36:G36"/>
    <mergeCell ref="A37:B37"/>
    <mergeCell ref="C37:E39"/>
    <mergeCell ref="C44:E44"/>
    <mergeCell ref="C41:E41"/>
    <mergeCell ref="C50:E50"/>
  </mergeCells>
  <printOptions/>
  <pageMargins left="0.94" right="0.1968503937007874" top="0.52" bottom="0.51" header="0.5118110236220472" footer="0.51"/>
  <pageSetup horizontalDpi="180" verticalDpi="18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SheetLayoutView="100" zoomScalePageLayoutView="0" workbookViewId="0" topLeftCell="A94">
      <selection activeCell="A94" sqref="A94:IV94"/>
    </sheetView>
  </sheetViews>
  <sheetFormatPr defaultColWidth="9.140625" defaultRowHeight="21.75"/>
  <cols>
    <col min="1" max="1" width="54.57421875" style="0" customWidth="1"/>
    <col min="3" max="4" width="13.00390625" style="0" customWidth="1"/>
  </cols>
  <sheetData>
    <row r="1" spans="1:4" ht="23.25">
      <c r="A1" s="676" t="s">
        <v>347</v>
      </c>
      <c r="B1" s="676"/>
      <c r="C1" s="676"/>
      <c r="D1" s="676"/>
    </row>
    <row r="2" spans="1:4" ht="23.25">
      <c r="A2" s="676" t="s">
        <v>348</v>
      </c>
      <c r="B2" s="676"/>
      <c r="C2" s="676"/>
      <c r="D2" s="676"/>
    </row>
    <row r="3" spans="1:4" ht="23.25">
      <c r="A3" s="677" t="s">
        <v>322</v>
      </c>
      <c r="B3" s="677"/>
      <c r="C3" s="677"/>
      <c r="D3" s="677"/>
    </row>
    <row r="4" spans="1:4" ht="23.25">
      <c r="A4" s="345" t="s">
        <v>314</v>
      </c>
      <c r="B4" s="345"/>
      <c r="C4" s="345"/>
      <c r="D4" s="345"/>
    </row>
    <row r="5" spans="1:4" ht="23.25">
      <c r="A5" s="347" t="s">
        <v>36</v>
      </c>
      <c r="B5" s="427" t="s">
        <v>35</v>
      </c>
      <c r="C5" s="348" t="s">
        <v>315</v>
      </c>
      <c r="D5" s="41" t="s">
        <v>38</v>
      </c>
    </row>
    <row r="6" spans="1:4" ht="23.25">
      <c r="A6" s="185" t="s">
        <v>49</v>
      </c>
      <c r="B6" s="428" t="s">
        <v>349</v>
      </c>
      <c r="C6" s="429">
        <v>73657.38</v>
      </c>
      <c r="D6" s="38"/>
    </row>
    <row r="7" spans="1:4" ht="23.25">
      <c r="A7" s="430" t="s">
        <v>41</v>
      </c>
      <c r="B7" s="349"/>
      <c r="C7" s="431"/>
      <c r="D7" s="432">
        <f>C6</f>
        <v>73657.38</v>
      </c>
    </row>
    <row r="8" spans="1:4" ht="23.25">
      <c r="A8" s="185"/>
      <c r="B8" s="349"/>
      <c r="C8" s="431"/>
      <c r="D8" s="433"/>
    </row>
    <row r="9" spans="1:4" ht="23.25">
      <c r="A9" s="185"/>
      <c r="B9" s="349"/>
      <c r="C9" s="433"/>
      <c r="D9" s="433"/>
    </row>
    <row r="10" spans="1:4" ht="23.25">
      <c r="A10" s="185"/>
      <c r="B10" s="349"/>
      <c r="C10" s="433"/>
      <c r="D10" s="433"/>
    </row>
    <row r="11" spans="1:4" ht="23.25">
      <c r="A11" s="185"/>
      <c r="B11" s="349"/>
      <c r="C11" s="433"/>
      <c r="D11" s="433"/>
    </row>
    <row r="12" spans="1:4" ht="23.25">
      <c r="A12" s="202"/>
      <c r="B12" s="349"/>
      <c r="C12" s="431"/>
      <c r="D12" s="433"/>
    </row>
    <row r="13" spans="1:4" ht="23.25">
      <c r="A13" s="185"/>
      <c r="B13" s="349"/>
      <c r="C13" s="431"/>
      <c r="D13" s="433"/>
    </row>
    <row r="14" spans="1:4" ht="23.25">
      <c r="A14" s="185"/>
      <c r="B14" s="349"/>
      <c r="C14" s="431"/>
      <c r="D14" s="433"/>
    </row>
    <row r="15" spans="1:4" ht="23.25">
      <c r="A15" s="40"/>
      <c r="B15" s="434"/>
      <c r="C15" s="435"/>
      <c r="D15" s="435"/>
    </row>
    <row r="16" spans="1:4" ht="23.25">
      <c r="A16" s="357" t="s">
        <v>350</v>
      </c>
      <c r="B16" s="436"/>
      <c r="C16" s="48"/>
      <c r="D16" s="437"/>
    </row>
    <row r="17" spans="1:4" ht="23.25">
      <c r="A17" s="678" t="s">
        <v>351</v>
      </c>
      <c r="B17" s="679"/>
      <c r="C17" s="679"/>
      <c r="D17" s="679"/>
    </row>
    <row r="18" spans="1:4" ht="23.25">
      <c r="A18" s="200"/>
      <c r="B18" s="436"/>
      <c r="C18" s="48"/>
      <c r="D18" s="437"/>
    </row>
    <row r="19" spans="1:4" ht="23.25">
      <c r="A19" s="438"/>
      <c r="B19" s="436"/>
      <c r="C19" s="48"/>
      <c r="D19" s="437"/>
    </row>
    <row r="20" spans="1:4" ht="23.25">
      <c r="A20" s="438"/>
      <c r="B20" s="436"/>
      <c r="C20" s="48"/>
      <c r="D20" s="437"/>
    </row>
    <row r="21" spans="1:4" ht="23.25">
      <c r="A21" s="438"/>
      <c r="B21" s="436"/>
      <c r="C21" s="48"/>
      <c r="D21" s="437"/>
    </row>
    <row r="22" spans="1:4" ht="23.25">
      <c r="A22" s="438"/>
      <c r="B22" s="436"/>
      <c r="C22" s="48"/>
      <c r="D22" s="437"/>
    </row>
    <row r="23" spans="1:4" ht="23.25">
      <c r="A23" s="200" t="s">
        <v>324</v>
      </c>
      <c r="B23" s="48"/>
      <c r="C23" s="48"/>
      <c r="D23" s="48"/>
    </row>
    <row r="24" spans="1:4" ht="23.25">
      <c r="A24" s="200"/>
      <c r="B24" s="48"/>
      <c r="C24" s="48"/>
      <c r="D24" s="48"/>
    </row>
    <row r="25" spans="1:4" ht="23.25">
      <c r="A25" s="680"/>
      <c r="B25" s="681"/>
      <c r="C25" s="681"/>
      <c r="D25" s="681"/>
    </row>
    <row r="26" spans="1:4" ht="23.25">
      <c r="A26" s="200"/>
      <c r="B26" s="436"/>
      <c r="C26" s="48"/>
      <c r="D26" s="437"/>
    </row>
    <row r="27" spans="1:4" ht="23.25">
      <c r="A27" s="365"/>
      <c r="B27" s="366"/>
      <c r="C27" s="366"/>
      <c r="D27" s="366"/>
    </row>
    <row r="28" spans="1:4" ht="23.25">
      <c r="A28" s="48"/>
      <c r="B28" s="48"/>
      <c r="C28" s="48"/>
      <c r="D28" s="48"/>
    </row>
    <row r="29" spans="1:4" ht="23.25">
      <c r="A29" s="48"/>
      <c r="B29" s="48"/>
      <c r="C29" s="48"/>
      <c r="D29" s="48"/>
    </row>
    <row r="30" spans="1:4" ht="23.25">
      <c r="A30" s="48"/>
      <c r="B30" s="48"/>
      <c r="C30" s="48"/>
      <c r="D30" s="48"/>
    </row>
    <row r="31" spans="1:4" ht="23.25">
      <c r="A31" s="48"/>
      <c r="B31" s="48"/>
      <c r="C31" s="48"/>
      <c r="D31" s="48"/>
    </row>
    <row r="32" spans="1:4" ht="23.25">
      <c r="A32" s="48"/>
      <c r="B32" s="48"/>
      <c r="C32" s="48"/>
      <c r="D32" s="48"/>
    </row>
    <row r="33" spans="1:4" ht="23.25">
      <c r="A33" s="676" t="s">
        <v>347</v>
      </c>
      <c r="B33" s="676"/>
      <c r="C33" s="676"/>
      <c r="D33" s="676"/>
    </row>
    <row r="34" spans="1:4" ht="23.25">
      <c r="A34" s="676" t="s">
        <v>348</v>
      </c>
      <c r="B34" s="676"/>
      <c r="C34" s="676"/>
      <c r="D34" s="676"/>
    </row>
    <row r="35" spans="1:4" ht="23.25">
      <c r="A35" s="677" t="s">
        <v>322</v>
      </c>
      <c r="B35" s="677"/>
      <c r="C35" s="677"/>
      <c r="D35" s="677"/>
    </row>
    <row r="36" spans="1:4" ht="23.25">
      <c r="A36" s="345" t="s">
        <v>314</v>
      </c>
      <c r="B36" s="345"/>
      <c r="C36" s="345"/>
      <c r="D36" s="345"/>
    </row>
    <row r="37" spans="1:4" ht="23.25">
      <c r="A37" s="347" t="s">
        <v>36</v>
      </c>
      <c r="B37" s="427" t="s">
        <v>35</v>
      </c>
      <c r="C37" s="348" t="s">
        <v>315</v>
      </c>
      <c r="D37" s="41" t="s">
        <v>38</v>
      </c>
    </row>
    <row r="38" spans="1:4" ht="23.25">
      <c r="A38" s="185" t="s">
        <v>41</v>
      </c>
      <c r="B38" s="428"/>
      <c r="C38" s="429">
        <v>70900.69</v>
      </c>
      <c r="D38" s="38"/>
    </row>
    <row r="39" spans="1:4" ht="23.25">
      <c r="A39" s="439" t="s">
        <v>49</v>
      </c>
      <c r="B39" s="349"/>
      <c r="C39" s="350"/>
      <c r="D39" s="432">
        <f>C38</f>
        <v>70900.69</v>
      </c>
    </row>
    <row r="40" spans="1:4" ht="23.25">
      <c r="A40" s="185"/>
      <c r="B40" s="349"/>
      <c r="C40" s="350"/>
      <c r="D40" s="433"/>
    </row>
    <row r="41" spans="1:4" ht="23.25">
      <c r="A41" s="185"/>
      <c r="B41" s="349"/>
      <c r="C41" s="432"/>
      <c r="D41" s="440"/>
    </row>
    <row r="42" spans="1:4" ht="23.25">
      <c r="A42" s="202"/>
      <c r="B42" s="349"/>
      <c r="C42" s="432"/>
      <c r="D42" s="432"/>
    </row>
    <row r="43" spans="1:4" ht="23.25">
      <c r="A43" s="185"/>
      <c r="B43" s="349"/>
      <c r="C43" s="432"/>
      <c r="D43" s="440"/>
    </row>
    <row r="44" spans="1:4" ht="23.25">
      <c r="A44" s="185"/>
      <c r="B44" s="349"/>
      <c r="C44" s="432"/>
      <c r="D44" s="350"/>
    </row>
    <row r="45" spans="1:4" ht="23.25">
      <c r="A45" s="439"/>
      <c r="B45" s="349"/>
      <c r="C45" s="185"/>
      <c r="D45" s="432"/>
    </row>
    <row r="46" spans="1:4" ht="23.25">
      <c r="A46" s="185"/>
      <c r="B46" s="349"/>
      <c r="C46" s="185"/>
      <c r="D46" s="431"/>
    </row>
    <row r="47" spans="1:4" ht="23.25">
      <c r="A47" s="365"/>
      <c r="B47" s="434"/>
      <c r="C47" s="441"/>
      <c r="D47" s="435"/>
    </row>
    <row r="48" spans="1:4" ht="23.25">
      <c r="A48" s="357" t="s">
        <v>350</v>
      </c>
      <c r="B48" s="436"/>
      <c r="C48" s="48"/>
      <c r="D48" s="437"/>
    </row>
    <row r="49" spans="1:4" ht="23.25">
      <c r="A49" s="442" t="s">
        <v>352</v>
      </c>
      <c r="B49" s="443"/>
      <c r="C49" s="444"/>
      <c r="D49" s="444"/>
    </row>
    <row r="50" spans="1:4" ht="23.25">
      <c r="A50" s="445"/>
      <c r="B50" s="443"/>
      <c r="C50" s="48"/>
      <c r="D50" s="437"/>
    </row>
    <row r="51" spans="1:4" ht="23.25">
      <c r="A51" s="442"/>
      <c r="B51" s="443"/>
      <c r="C51" s="48"/>
      <c r="D51" s="437"/>
    </row>
    <row r="52" spans="1:4" ht="23.25">
      <c r="A52" s="438"/>
      <c r="B52" s="436"/>
      <c r="C52" s="48"/>
      <c r="D52" s="437"/>
    </row>
    <row r="53" spans="1:4" ht="23.25">
      <c r="A53" s="438"/>
      <c r="B53" s="436"/>
      <c r="C53" s="48"/>
      <c r="D53" s="437"/>
    </row>
    <row r="54" spans="1:4" ht="23.25">
      <c r="A54" s="438"/>
      <c r="B54" s="436"/>
      <c r="C54" s="48"/>
      <c r="D54" s="437"/>
    </row>
    <row r="55" spans="1:4" ht="23.25">
      <c r="A55" s="200" t="s">
        <v>324</v>
      </c>
      <c r="B55" s="48"/>
      <c r="C55" s="48"/>
      <c r="D55" s="48"/>
    </row>
    <row r="56" spans="1:4" ht="23.25">
      <c r="A56" s="200"/>
      <c r="B56" s="48"/>
      <c r="C56" s="48"/>
      <c r="D56" s="48"/>
    </row>
    <row r="57" spans="1:4" ht="23.25">
      <c r="A57" s="680"/>
      <c r="B57" s="681"/>
      <c r="C57" s="681"/>
      <c r="D57" s="681"/>
    </row>
    <row r="58" spans="1:4" ht="23.25">
      <c r="A58" s="200"/>
      <c r="B58" s="436"/>
      <c r="C58" s="48"/>
      <c r="D58" s="437"/>
    </row>
    <row r="59" spans="1:4" ht="23.25">
      <c r="A59" s="365"/>
      <c r="B59" s="366"/>
      <c r="C59" s="366"/>
      <c r="D59" s="366"/>
    </row>
    <row r="60" spans="1:4" ht="23.25">
      <c r="A60" s="48"/>
      <c r="B60" s="48"/>
      <c r="C60" s="48"/>
      <c r="D60" s="48"/>
    </row>
    <row r="61" spans="1:4" ht="23.25">
      <c r="A61" s="48"/>
      <c r="B61" s="48"/>
      <c r="C61" s="48"/>
      <c r="D61" s="48"/>
    </row>
    <row r="62" spans="1:4" ht="23.25">
      <c r="A62" s="48"/>
      <c r="B62" s="48"/>
      <c r="C62" s="48"/>
      <c r="D62" s="48"/>
    </row>
    <row r="63" spans="1:4" ht="23.25">
      <c r="A63" s="48"/>
      <c r="B63" s="48"/>
      <c r="C63" s="48"/>
      <c r="D63" s="48"/>
    </row>
    <row r="64" spans="1:4" ht="23.25">
      <c r="A64" s="48"/>
      <c r="B64" s="48"/>
      <c r="C64" s="48"/>
      <c r="D64" s="48"/>
    </row>
    <row r="65" spans="1:4" ht="23.25">
      <c r="A65" s="676" t="s">
        <v>347</v>
      </c>
      <c r="B65" s="676"/>
      <c r="C65" s="676"/>
      <c r="D65" s="676"/>
    </row>
    <row r="66" spans="1:4" ht="23.25">
      <c r="A66" s="676" t="s">
        <v>348</v>
      </c>
      <c r="B66" s="676"/>
      <c r="C66" s="676"/>
      <c r="D66" s="676"/>
    </row>
    <row r="67" spans="1:4" ht="23.25">
      <c r="A67" s="677" t="s">
        <v>322</v>
      </c>
      <c r="B67" s="677"/>
      <c r="C67" s="677"/>
      <c r="D67" s="677"/>
    </row>
    <row r="68" spans="1:4" ht="23.25">
      <c r="A68" s="345" t="s">
        <v>314</v>
      </c>
      <c r="B68" s="345"/>
      <c r="C68" s="345"/>
      <c r="D68" s="345"/>
    </row>
    <row r="69" spans="1:4" ht="23.25">
      <c r="A69" s="347" t="s">
        <v>36</v>
      </c>
      <c r="B69" s="427" t="s">
        <v>35</v>
      </c>
      <c r="C69" s="348" t="s">
        <v>315</v>
      </c>
      <c r="D69" s="41" t="s">
        <v>38</v>
      </c>
    </row>
    <row r="70" spans="1:4" ht="23.25">
      <c r="A70" s="185" t="s">
        <v>43</v>
      </c>
      <c r="B70" s="428" t="s">
        <v>353</v>
      </c>
      <c r="C70" s="429">
        <v>1210000</v>
      </c>
      <c r="D70" s="38"/>
    </row>
    <row r="71" spans="1:4" ht="23.25">
      <c r="A71" s="202" t="s">
        <v>48</v>
      </c>
      <c r="B71" s="349" t="s">
        <v>325</v>
      </c>
      <c r="C71" s="350">
        <v>9780</v>
      </c>
      <c r="D71" s="432"/>
    </row>
    <row r="72" spans="1:4" ht="23.25">
      <c r="A72" s="185" t="s">
        <v>48</v>
      </c>
      <c r="B72" s="349" t="s">
        <v>326</v>
      </c>
      <c r="C72" s="350">
        <v>214900</v>
      </c>
      <c r="D72" s="433"/>
    </row>
    <row r="73" spans="1:4" ht="23.25">
      <c r="A73" s="185" t="s">
        <v>44</v>
      </c>
      <c r="B73" s="349" t="s">
        <v>339</v>
      </c>
      <c r="C73" s="432">
        <v>357</v>
      </c>
      <c r="D73" s="440"/>
    </row>
    <row r="74" spans="1:4" ht="23.25">
      <c r="A74" s="202" t="s">
        <v>44</v>
      </c>
      <c r="B74" s="349" t="s">
        <v>328</v>
      </c>
      <c r="C74" s="432">
        <v>31996</v>
      </c>
      <c r="D74" s="432"/>
    </row>
    <row r="75" spans="1:4" ht="23.25">
      <c r="A75" s="185" t="s">
        <v>45</v>
      </c>
      <c r="B75" s="349" t="s">
        <v>354</v>
      </c>
      <c r="C75" s="432">
        <v>19500</v>
      </c>
      <c r="D75" s="440"/>
    </row>
    <row r="76" spans="1:4" ht="23.25">
      <c r="A76" s="185" t="s">
        <v>45</v>
      </c>
      <c r="B76" s="349" t="s">
        <v>355</v>
      </c>
      <c r="C76" s="432">
        <v>153569.88</v>
      </c>
      <c r="D76" s="350"/>
    </row>
    <row r="77" spans="1:4" ht="23.25">
      <c r="A77" s="439" t="s">
        <v>305</v>
      </c>
      <c r="B77" s="349"/>
      <c r="C77" s="185"/>
      <c r="D77" s="432">
        <f>C70</f>
        <v>1210000</v>
      </c>
    </row>
    <row r="78" spans="1:4" ht="23.25">
      <c r="A78" s="439" t="s">
        <v>356</v>
      </c>
      <c r="B78" s="349"/>
      <c r="C78" s="185"/>
      <c r="D78" s="446">
        <f>C71+C72+C73+C74+C75+C76</f>
        <v>430102.88</v>
      </c>
    </row>
    <row r="79" spans="1:4" ht="23.25">
      <c r="A79" s="365"/>
      <c r="B79" s="434"/>
      <c r="C79" s="447">
        <f>SUM(C70:C78)</f>
        <v>1640102.88</v>
      </c>
      <c r="D79" s="448">
        <f>SUM(D77:D78)</f>
        <v>1640102.88</v>
      </c>
    </row>
    <row r="80" spans="1:4" ht="23.25">
      <c r="A80" s="357" t="s">
        <v>350</v>
      </c>
      <c r="B80" s="436"/>
      <c r="C80" s="48"/>
      <c r="D80" s="437"/>
    </row>
    <row r="81" spans="1:4" ht="23.25">
      <c r="A81" s="682" t="s">
        <v>357</v>
      </c>
      <c r="B81" s="683"/>
      <c r="C81" s="683"/>
      <c r="D81" s="683"/>
    </row>
    <row r="82" spans="1:4" ht="23.25">
      <c r="A82" s="201" t="s">
        <v>358</v>
      </c>
      <c r="B82" s="436"/>
      <c r="C82" s="48"/>
      <c r="D82" s="437"/>
    </row>
    <row r="83" spans="1:4" ht="23.25">
      <c r="A83" s="201" t="s">
        <v>359</v>
      </c>
      <c r="B83" s="436"/>
      <c r="C83" s="48"/>
      <c r="D83" s="437"/>
    </row>
    <row r="84" spans="1:4" ht="23.25">
      <c r="A84" s="201" t="s">
        <v>360</v>
      </c>
      <c r="B84" s="436"/>
      <c r="C84" s="48"/>
      <c r="D84" s="437"/>
    </row>
    <row r="85" spans="1:4" ht="23.25">
      <c r="A85" s="438"/>
      <c r="B85" s="436"/>
      <c r="C85" s="48"/>
      <c r="D85" s="437"/>
    </row>
    <row r="86" spans="1:4" ht="23.25">
      <c r="A86" s="438"/>
      <c r="B86" s="436"/>
      <c r="C86" s="48"/>
      <c r="D86" s="437"/>
    </row>
    <row r="87" spans="1:4" ht="23.25">
      <c r="A87" s="200" t="s">
        <v>324</v>
      </c>
      <c r="B87" s="48"/>
      <c r="C87" s="48"/>
      <c r="D87" s="48"/>
    </row>
    <row r="88" spans="1:4" ht="23.25">
      <c r="A88" s="200"/>
      <c r="B88" s="48"/>
      <c r="C88" s="48"/>
      <c r="D88" s="48"/>
    </row>
    <row r="89" spans="1:4" ht="23.25">
      <c r="A89" s="680"/>
      <c r="B89" s="681"/>
      <c r="C89" s="681"/>
      <c r="D89" s="681"/>
    </row>
    <row r="90" spans="1:4" ht="23.25">
      <c r="A90" s="200"/>
      <c r="B90" s="436"/>
      <c r="C90" s="48"/>
      <c r="D90" s="437"/>
    </row>
    <row r="91" spans="1:4" ht="23.25">
      <c r="A91" s="365"/>
      <c r="B91" s="366"/>
      <c r="C91" s="366"/>
      <c r="D91" s="366"/>
    </row>
    <row r="92" spans="1:4" ht="23.25">
      <c r="A92" s="346"/>
      <c r="B92" s="346"/>
      <c r="C92" s="346"/>
      <c r="D92" s="346"/>
    </row>
    <row r="93" spans="1:4" ht="23.25">
      <c r="A93" s="346"/>
      <c r="B93" s="346"/>
      <c r="C93" s="346"/>
      <c r="D93" s="346"/>
    </row>
    <row r="94" spans="1:4" ht="23.25">
      <c r="A94" s="346"/>
      <c r="B94" s="346"/>
      <c r="C94" s="346"/>
      <c r="D94" s="346"/>
    </row>
    <row r="95" spans="1:4" ht="23.25">
      <c r="A95" s="346"/>
      <c r="B95" s="346"/>
      <c r="C95" s="346"/>
      <c r="D95" s="346"/>
    </row>
    <row r="96" spans="1:4" ht="23.25">
      <c r="A96" s="346"/>
      <c r="B96" s="346"/>
      <c r="C96" s="346"/>
      <c r="D96" s="346"/>
    </row>
    <row r="97" spans="1:4" ht="23.25">
      <c r="A97" s="676" t="s">
        <v>347</v>
      </c>
      <c r="B97" s="676"/>
      <c r="C97" s="676"/>
      <c r="D97" s="676"/>
    </row>
    <row r="98" spans="1:4" ht="23.25">
      <c r="A98" s="676" t="s">
        <v>348</v>
      </c>
      <c r="B98" s="676"/>
      <c r="C98" s="676"/>
      <c r="D98" s="676"/>
    </row>
    <row r="99" spans="1:4" ht="23.25">
      <c r="A99" s="677" t="s">
        <v>322</v>
      </c>
      <c r="B99" s="677"/>
      <c r="C99" s="677"/>
      <c r="D99" s="677"/>
    </row>
    <row r="100" spans="1:4" ht="23.25">
      <c r="A100" s="345" t="s">
        <v>314</v>
      </c>
      <c r="B100" s="345"/>
      <c r="C100" s="345"/>
      <c r="D100" s="345"/>
    </row>
    <row r="101" spans="1:4" ht="23.25">
      <c r="A101" s="347" t="s">
        <v>36</v>
      </c>
      <c r="B101" s="427" t="s">
        <v>35</v>
      </c>
      <c r="C101" s="347" t="s">
        <v>315</v>
      </c>
      <c r="D101" s="41" t="s">
        <v>38</v>
      </c>
    </row>
    <row r="102" spans="1:4" ht="23.25">
      <c r="A102" s="185" t="s">
        <v>111</v>
      </c>
      <c r="B102" s="428"/>
      <c r="C102" s="429">
        <v>25564197.35</v>
      </c>
      <c r="D102" s="38"/>
    </row>
    <row r="103" spans="1:4" ht="23.25">
      <c r="A103" s="439" t="s">
        <v>78</v>
      </c>
      <c r="B103" s="349"/>
      <c r="C103" s="350"/>
      <c r="D103" s="449">
        <v>22095429.65</v>
      </c>
    </row>
    <row r="104" spans="1:4" ht="23.25">
      <c r="A104" s="439" t="s">
        <v>282</v>
      </c>
      <c r="B104" s="349"/>
      <c r="C104" s="350"/>
      <c r="D104" s="449">
        <f>(C102-D103)*25/100</f>
        <v>867191.9250000007</v>
      </c>
    </row>
    <row r="105" spans="1:4" ht="23.25">
      <c r="A105" s="439" t="s">
        <v>49</v>
      </c>
      <c r="B105" s="349"/>
      <c r="C105" s="432"/>
      <c r="D105" s="449">
        <v>2601575.77</v>
      </c>
    </row>
    <row r="106" spans="1:4" ht="23.25">
      <c r="A106" s="202"/>
      <c r="B106" s="349"/>
      <c r="C106" s="432"/>
      <c r="D106" s="432"/>
    </row>
    <row r="107" spans="1:4" ht="23.25">
      <c r="A107" s="185"/>
      <c r="B107" s="349"/>
      <c r="C107" s="432"/>
      <c r="D107" s="440"/>
    </row>
    <row r="108" spans="1:4" ht="23.25">
      <c r="A108" s="185"/>
      <c r="B108" s="349"/>
      <c r="C108" s="450">
        <f>SUM(C102:C107)</f>
        <v>25564197.35</v>
      </c>
      <c r="D108" s="451">
        <f>SUM(D103:D107)</f>
        <v>25564197.345</v>
      </c>
    </row>
    <row r="109" spans="1:4" ht="23.25">
      <c r="A109" s="439"/>
      <c r="B109" s="349"/>
      <c r="C109" s="185"/>
      <c r="D109" s="432"/>
    </row>
    <row r="110" spans="1:4" ht="23.25">
      <c r="A110" s="185"/>
      <c r="B110" s="349"/>
      <c r="C110" s="185"/>
      <c r="D110" s="431"/>
    </row>
    <row r="111" spans="1:4" ht="23.25">
      <c r="A111" s="365"/>
      <c r="B111" s="434"/>
      <c r="C111" s="441"/>
      <c r="D111" s="435"/>
    </row>
    <row r="112" spans="1:4" ht="23.25">
      <c r="A112" s="357" t="s">
        <v>350</v>
      </c>
      <c r="B112" s="436"/>
      <c r="C112" s="48"/>
      <c r="D112" s="437"/>
    </row>
    <row r="113" spans="1:4" ht="23.25">
      <c r="A113" s="442" t="s">
        <v>361</v>
      </c>
      <c r="B113" s="443"/>
      <c r="C113" s="444"/>
      <c r="D113" s="444"/>
    </row>
    <row r="114" spans="1:4" ht="23.25">
      <c r="A114" s="201" t="s">
        <v>362</v>
      </c>
      <c r="B114" s="443"/>
      <c r="C114" s="48"/>
      <c r="D114" s="437"/>
    </row>
    <row r="115" spans="1:4" ht="23.25">
      <c r="A115" s="201"/>
      <c r="B115" s="443"/>
      <c r="C115" s="48"/>
      <c r="D115" s="437"/>
    </row>
    <row r="116" spans="1:4" ht="23.25">
      <c r="A116" s="438"/>
      <c r="B116" s="436"/>
      <c r="C116" s="48"/>
      <c r="D116" s="437"/>
    </row>
    <row r="117" spans="1:4" ht="23.25">
      <c r="A117" s="438"/>
      <c r="B117" s="436"/>
      <c r="C117" s="48"/>
      <c r="D117" s="437"/>
    </row>
    <row r="118" spans="1:4" ht="23.25">
      <c r="A118" s="438"/>
      <c r="B118" s="436"/>
      <c r="C118" s="48"/>
      <c r="D118" s="437"/>
    </row>
    <row r="119" spans="1:4" ht="23.25">
      <c r="A119" s="200" t="s">
        <v>324</v>
      </c>
      <c r="B119" s="48"/>
      <c r="C119" s="48"/>
      <c r="D119" s="48"/>
    </row>
    <row r="120" spans="1:4" ht="23.25">
      <c r="A120" s="200"/>
      <c r="B120" s="48"/>
      <c r="C120" s="48"/>
      <c r="D120" s="48"/>
    </row>
    <row r="121" spans="1:4" ht="23.25">
      <c r="A121" s="680"/>
      <c r="B121" s="681"/>
      <c r="C121" s="681"/>
      <c r="D121" s="681"/>
    </row>
    <row r="122" spans="1:4" ht="23.25">
      <c r="A122" s="200"/>
      <c r="B122" s="436"/>
      <c r="C122" s="48"/>
      <c r="D122" s="437"/>
    </row>
    <row r="123" spans="1:4" ht="23.25">
      <c r="A123" s="365"/>
      <c r="B123" s="366"/>
      <c r="C123" s="366"/>
      <c r="D123" s="366"/>
    </row>
  </sheetData>
  <sheetProtection/>
  <mergeCells count="18">
    <mergeCell ref="A99:D99"/>
    <mergeCell ref="A121:D121"/>
    <mergeCell ref="A81:D81"/>
    <mergeCell ref="A89:D89"/>
    <mergeCell ref="A97:D97"/>
    <mergeCell ref="A98:D98"/>
    <mergeCell ref="A66:D66"/>
    <mergeCell ref="A67:D67"/>
    <mergeCell ref="A25:D25"/>
    <mergeCell ref="A33:D33"/>
    <mergeCell ref="A34:D34"/>
    <mergeCell ref="A35:D35"/>
    <mergeCell ref="A1:D1"/>
    <mergeCell ref="A2:D2"/>
    <mergeCell ref="A3:D3"/>
    <mergeCell ref="A17:D17"/>
    <mergeCell ref="A57:D57"/>
    <mergeCell ref="A65:D65"/>
  </mergeCells>
  <printOptions/>
  <pageMargins left="1.03" right="0.29" top="1.09" bottom="0.71" header="0.36" footer="0.3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17"/>
  <sheetViews>
    <sheetView view="pageBreakPreview" zoomScaleSheetLayoutView="100" zoomScalePageLayoutView="0" workbookViewId="0" topLeftCell="A1">
      <selection activeCell="J26" sqref="J25:J26"/>
    </sheetView>
  </sheetViews>
  <sheetFormatPr defaultColWidth="9.140625" defaultRowHeight="21.75"/>
  <cols>
    <col min="1" max="1" width="64.7109375" style="13" customWidth="1"/>
    <col min="2" max="2" width="8.8515625" style="13" customWidth="1"/>
    <col min="3" max="3" width="11.421875" style="13" customWidth="1"/>
    <col min="4" max="4" width="4.00390625" style="13" customWidth="1"/>
    <col min="5" max="5" width="11.28125" style="13" customWidth="1"/>
    <col min="6" max="6" width="4.00390625" style="13" customWidth="1"/>
    <col min="7" max="16384" width="9.140625" style="13" customWidth="1"/>
  </cols>
  <sheetData>
    <row r="1" spans="1:6" ht="22.5">
      <c r="A1" s="668" t="s">
        <v>648</v>
      </c>
      <c r="B1" s="668"/>
      <c r="C1" s="668"/>
      <c r="D1" s="668"/>
      <c r="E1" s="668"/>
      <c r="F1" s="668"/>
    </row>
    <row r="2" spans="1:6" ht="22.5">
      <c r="A2" s="668" t="s">
        <v>647</v>
      </c>
      <c r="B2" s="668"/>
      <c r="C2" s="668"/>
      <c r="D2" s="668"/>
      <c r="E2" s="668"/>
      <c r="F2" s="668"/>
    </row>
    <row r="3" spans="1:6" ht="22.5">
      <c r="A3" s="669" t="s">
        <v>322</v>
      </c>
      <c r="B3" s="669"/>
      <c r="C3" s="669"/>
      <c r="D3" s="669"/>
      <c r="E3" s="669"/>
      <c r="F3" s="669"/>
    </row>
    <row r="4" spans="1:6" ht="22.5">
      <c r="A4" s="369" t="s">
        <v>491</v>
      </c>
      <c r="B4" s="369"/>
      <c r="C4" s="369"/>
      <c r="D4" s="369"/>
      <c r="E4" s="369"/>
      <c r="F4" s="369"/>
    </row>
    <row r="5" spans="1:6" ht="22.5">
      <c r="A5" s="370" t="s">
        <v>36</v>
      </c>
      <c r="B5" s="371" t="s">
        <v>35</v>
      </c>
      <c r="C5" s="670" t="s">
        <v>315</v>
      </c>
      <c r="D5" s="671"/>
      <c r="E5" s="672" t="s">
        <v>38</v>
      </c>
      <c r="F5" s="671"/>
    </row>
    <row r="6" spans="1:6" ht="22.5">
      <c r="A6" s="376" t="s">
        <v>44</v>
      </c>
      <c r="B6" s="373"/>
      <c r="C6" s="374">
        <v>3000</v>
      </c>
      <c r="D6" s="375" t="s">
        <v>53</v>
      </c>
      <c r="E6" s="376"/>
      <c r="F6" s="377"/>
    </row>
    <row r="7" spans="1:6" ht="22.5">
      <c r="A7" s="372" t="s">
        <v>16</v>
      </c>
      <c r="B7" s="379"/>
      <c r="C7" s="380"/>
      <c r="D7" s="381"/>
      <c r="E7" s="382">
        <f>C6</f>
        <v>3000</v>
      </c>
      <c r="F7" s="379" t="s">
        <v>53</v>
      </c>
    </row>
    <row r="8" spans="1:6" ht="22.5">
      <c r="A8" s="372"/>
      <c r="B8" s="379"/>
      <c r="C8" s="380"/>
      <c r="D8" s="381"/>
      <c r="E8" s="383"/>
      <c r="F8" s="384"/>
    </row>
    <row r="9" spans="1:6" ht="22.5">
      <c r="A9" s="372"/>
      <c r="B9" s="379"/>
      <c r="C9" s="383"/>
      <c r="D9" s="381"/>
      <c r="E9" s="383"/>
      <c r="F9" s="384"/>
    </row>
    <row r="10" spans="1:6" ht="22.5">
      <c r="A10" s="372"/>
      <c r="B10" s="379"/>
      <c r="C10" s="383"/>
      <c r="D10" s="381"/>
      <c r="E10" s="383"/>
      <c r="F10" s="384"/>
    </row>
    <row r="11" spans="1:6" ht="22.5">
      <c r="A11" s="372"/>
      <c r="B11" s="379"/>
      <c r="C11" s="383"/>
      <c r="D11" s="381"/>
      <c r="E11" s="383"/>
      <c r="F11" s="384"/>
    </row>
    <row r="12" spans="1:6" ht="22.5">
      <c r="A12" s="385"/>
      <c r="B12" s="379"/>
      <c r="C12" s="380"/>
      <c r="D12" s="381"/>
      <c r="E12" s="383"/>
      <c r="F12" s="384"/>
    </row>
    <row r="13" spans="1:6" ht="22.5">
      <c r="A13" s="372"/>
      <c r="B13" s="379"/>
      <c r="C13" s="380"/>
      <c r="D13" s="381"/>
      <c r="E13" s="383"/>
      <c r="F13" s="384"/>
    </row>
    <row r="14" spans="1:6" ht="22.5">
      <c r="A14" s="372"/>
      <c r="B14" s="379"/>
      <c r="C14" s="372"/>
      <c r="D14" s="381"/>
      <c r="E14" s="380"/>
      <c r="F14" s="384"/>
    </row>
    <row r="15" spans="1:6" ht="22.5">
      <c r="A15" s="386"/>
      <c r="B15" s="387"/>
      <c r="C15" s="388"/>
      <c r="D15" s="389"/>
      <c r="E15" s="390"/>
      <c r="F15" s="389"/>
    </row>
    <row r="16" spans="1:6" ht="22.5">
      <c r="A16" s="391" t="s">
        <v>323</v>
      </c>
      <c r="B16" s="392"/>
      <c r="C16" s="393"/>
      <c r="D16" s="381"/>
      <c r="E16" s="394"/>
      <c r="F16" s="384"/>
    </row>
    <row r="17" spans="1:6" ht="22.5">
      <c r="A17" s="673" t="s">
        <v>649</v>
      </c>
      <c r="B17" s="674"/>
      <c r="C17" s="674"/>
      <c r="D17" s="674"/>
      <c r="E17" s="674"/>
      <c r="F17" s="675"/>
    </row>
    <row r="18" spans="1:6" ht="22.5">
      <c r="A18" s="395" t="s">
        <v>650</v>
      </c>
      <c r="B18" s="392"/>
      <c r="C18" s="393"/>
      <c r="D18" s="381"/>
      <c r="E18" s="394"/>
      <c r="F18" s="384"/>
    </row>
    <row r="19" spans="1:6" ht="22.5">
      <c r="A19" s="396"/>
      <c r="B19" s="397"/>
      <c r="C19" s="393"/>
      <c r="D19" s="381"/>
      <c r="E19" s="394"/>
      <c r="F19" s="384"/>
    </row>
    <row r="20" spans="1:6" ht="22.5">
      <c r="A20" s="396"/>
      <c r="B20" s="397"/>
      <c r="C20" s="393"/>
      <c r="D20" s="381"/>
      <c r="E20" s="394"/>
      <c r="F20" s="384"/>
    </row>
    <row r="21" spans="1:6" ht="22.5">
      <c r="A21" s="396"/>
      <c r="B21" s="397"/>
      <c r="C21" s="393"/>
      <c r="D21" s="381"/>
      <c r="E21" s="394"/>
      <c r="F21" s="384"/>
    </row>
    <row r="22" spans="1:6" ht="22.5">
      <c r="A22" s="398"/>
      <c r="B22" s="392"/>
      <c r="C22" s="393"/>
      <c r="D22" s="381"/>
      <c r="E22" s="394"/>
      <c r="F22" s="384"/>
    </row>
    <row r="23" spans="1:6" ht="22.5">
      <c r="A23" s="398"/>
      <c r="B23" s="392"/>
      <c r="C23" s="393"/>
      <c r="D23" s="381"/>
      <c r="E23" s="394"/>
      <c r="F23" s="384"/>
    </row>
    <row r="24" spans="1:6" ht="22.5">
      <c r="A24" s="395" t="s">
        <v>324</v>
      </c>
      <c r="B24" s="393"/>
      <c r="C24" s="393"/>
      <c r="D24" s="381"/>
      <c r="E24" s="393"/>
      <c r="F24" s="377"/>
    </row>
    <row r="25" spans="1:6" ht="22.5">
      <c r="A25" s="395"/>
      <c r="B25" s="393"/>
      <c r="C25" s="393"/>
      <c r="D25" s="381"/>
      <c r="E25" s="393"/>
      <c r="F25" s="377"/>
    </row>
    <row r="26" spans="1:6" ht="22.5">
      <c r="A26" s="673"/>
      <c r="B26" s="674"/>
      <c r="C26" s="674"/>
      <c r="D26" s="674"/>
      <c r="E26" s="674"/>
      <c r="F26" s="675"/>
    </row>
    <row r="27" spans="1:6" ht="22.5">
      <c r="A27" s="395"/>
      <c r="B27" s="392"/>
      <c r="C27" s="393"/>
      <c r="D27" s="381"/>
      <c r="E27" s="394"/>
      <c r="F27" s="384"/>
    </row>
    <row r="28" spans="1:6" ht="22.5">
      <c r="A28" s="386"/>
      <c r="B28" s="399"/>
      <c r="C28" s="399"/>
      <c r="D28" s="399"/>
      <c r="E28" s="399"/>
      <c r="F28" s="400"/>
    </row>
    <row r="38" spans="1:6" ht="22.5">
      <c r="A38" s="668"/>
      <c r="B38" s="668"/>
      <c r="C38" s="668"/>
      <c r="D38" s="668"/>
      <c r="E38" s="668"/>
      <c r="F38" s="668"/>
    </row>
    <row r="39" spans="1:6" ht="22.5">
      <c r="A39" s="668" t="s">
        <v>551</v>
      </c>
      <c r="B39" s="668"/>
      <c r="C39" s="668"/>
      <c r="D39" s="668"/>
      <c r="E39" s="668"/>
      <c r="F39" s="668"/>
    </row>
    <row r="40" spans="1:6" ht="22.5">
      <c r="A40" s="668" t="s">
        <v>552</v>
      </c>
      <c r="B40" s="668"/>
      <c r="C40" s="668"/>
      <c r="D40" s="668"/>
      <c r="E40" s="668"/>
      <c r="F40" s="668"/>
    </row>
    <row r="41" spans="1:6" ht="22.5">
      <c r="A41" s="669" t="s">
        <v>322</v>
      </c>
      <c r="B41" s="669"/>
      <c r="C41" s="669"/>
      <c r="D41" s="669"/>
      <c r="E41" s="669"/>
      <c r="F41" s="669"/>
    </row>
    <row r="42" spans="1:6" ht="22.5">
      <c r="A42" s="369" t="s">
        <v>314</v>
      </c>
      <c r="B42" s="369"/>
      <c r="C42" s="369"/>
      <c r="D42" s="369"/>
      <c r="E42" s="369"/>
      <c r="F42" s="369"/>
    </row>
    <row r="43" spans="1:6" ht="22.5">
      <c r="A43" s="370" t="s">
        <v>36</v>
      </c>
      <c r="B43" s="371" t="s">
        <v>35</v>
      </c>
      <c r="C43" s="670" t="s">
        <v>315</v>
      </c>
      <c r="D43" s="671"/>
      <c r="E43" s="672" t="s">
        <v>38</v>
      </c>
      <c r="F43" s="671"/>
    </row>
    <row r="44" spans="1:6" ht="22.5">
      <c r="A44" s="376" t="s">
        <v>554</v>
      </c>
      <c r="B44" s="373"/>
      <c r="C44" s="374">
        <v>19794</v>
      </c>
      <c r="D44" s="375">
        <v>39</v>
      </c>
      <c r="E44" s="376"/>
      <c r="F44" s="377"/>
    </row>
    <row r="45" spans="1:6" ht="23.25">
      <c r="A45" s="439" t="s">
        <v>549</v>
      </c>
      <c r="B45" s="379"/>
      <c r="C45" s="380"/>
      <c r="D45" s="381"/>
      <c r="E45" s="382">
        <f>C44</f>
        <v>19794</v>
      </c>
      <c r="F45" s="379" t="s">
        <v>553</v>
      </c>
    </row>
    <row r="46" spans="1:6" ht="22.5">
      <c r="A46" s="372"/>
      <c r="B46" s="379"/>
      <c r="C46" s="380"/>
      <c r="D46" s="381"/>
      <c r="E46" s="383"/>
      <c r="F46" s="384"/>
    </row>
    <row r="47" spans="1:6" ht="22.5">
      <c r="A47" s="372"/>
      <c r="B47" s="379"/>
      <c r="C47" s="383"/>
      <c r="D47" s="381"/>
      <c r="E47" s="383"/>
      <c r="F47" s="384"/>
    </row>
    <row r="48" spans="1:6" ht="22.5">
      <c r="A48" s="372"/>
      <c r="B48" s="379"/>
      <c r="C48" s="383"/>
      <c r="D48" s="381"/>
      <c r="E48" s="383"/>
      <c r="F48" s="384"/>
    </row>
    <row r="49" spans="1:6" ht="22.5">
      <c r="A49" s="372"/>
      <c r="B49" s="379"/>
      <c r="C49" s="383"/>
      <c r="D49" s="381"/>
      <c r="E49" s="383"/>
      <c r="F49" s="384"/>
    </row>
    <row r="50" spans="1:6" ht="22.5">
      <c r="A50" s="385"/>
      <c r="B50" s="379"/>
      <c r="C50" s="380"/>
      <c r="D50" s="381"/>
      <c r="E50" s="383"/>
      <c r="F50" s="384"/>
    </row>
    <row r="51" spans="1:6" ht="22.5">
      <c r="A51" s="372"/>
      <c r="B51" s="379"/>
      <c r="C51" s="380"/>
      <c r="D51" s="381"/>
      <c r="E51" s="383"/>
      <c r="F51" s="384"/>
    </row>
    <row r="52" spans="1:6" ht="22.5">
      <c r="A52" s="372"/>
      <c r="B52" s="379"/>
      <c r="C52" s="372"/>
      <c r="D52" s="381"/>
      <c r="E52" s="380"/>
      <c r="F52" s="384"/>
    </row>
    <row r="53" spans="1:6" ht="22.5">
      <c r="A53" s="386"/>
      <c r="B53" s="387"/>
      <c r="C53" s="388"/>
      <c r="D53" s="389"/>
      <c r="E53" s="390"/>
      <c r="F53" s="389"/>
    </row>
    <row r="54" spans="1:6" ht="22.5">
      <c r="A54" s="391" t="s">
        <v>323</v>
      </c>
      <c r="B54" s="392"/>
      <c r="C54" s="393"/>
      <c r="D54" s="381"/>
      <c r="E54" s="394"/>
      <c r="F54" s="384"/>
    </row>
    <row r="55" spans="1:6" ht="22.5">
      <c r="A55" s="673" t="s">
        <v>555</v>
      </c>
      <c r="B55" s="674"/>
      <c r="C55" s="674"/>
      <c r="D55" s="674"/>
      <c r="E55" s="674"/>
      <c r="F55" s="675"/>
    </row>
    <row r="56" spans="1:6" ht="22.5">
      <c r="A56" s="395"/>
      <c r="B56" s="392"/>
      <c r="C56" s="393"/>
      <c r="D56" s="381"/>
      <c r="E56" s="394"/>
      <c r="F56" s="384"/>
    </row>
    <row r="57" spans="1:6" ht="22.5">
      <c r="A57" s="396"/>
      <c r="B57" s="397"/>
      <c r="C57" s="393"/>
      <c r="D57" s="381"/>
      <c r="E57" s="394"/>
      <c r="F57" s="384"/>
    </row>
    <row r="58" spans="1:6" ht="22.5">
      <c r="A58" s="396"/>
      <c r="B58" s="397"/>
      <c r="C58" s="393"/>
      <c r="D58" s="381"/>
      <c r="E58" s="394"/>
      <c r="F58" s="384"/>
    </row>
    <row r="59" spans="1:6" ht="22.5">
      <c r="A59" s="396"/>
      <c r="B59" s="397"/>
      <c r="C59" s="393"/>
      <c r="D59" s="381"/>
      <c r="E59" s="394"/>
      <c r="F59" s="384"/>
    </row>
    <row r="60" spans="1:6" ht="22.5">
      <c r="A60" s="398"/>
      <c r="B60" s="392"/>
      <c r="C60" s="393"/>
      <c r="D60" s="381"/>
      <c r="E60" s="394"/>
      <c r="F60" s="384"/>
    </row>
    <row r="61" spans="1:6" ht="22.5">
      <c r="A61" s="398"/>
      <c r="B61" s="392"/>
      <c r="C61" s="393"/>
      <c r="D61" s="381"/>
      <c r="E61" s="394"/>
      <c r="F61" s="384"/>
    </row>
    <row r="62" spans="1:6" ht="22.5">
      <c r="A62" s="395" t="s">
        <v>324</v>
      </c>
      <c r="B62" s="393"/>
      <c r="C62" s="393"/>
      <c r="D62" s="381"/>
      <c r="E62" s="393"/>
      <c r="F62" s="377"/>
    </row>
    <row r="63" spans="1:6" ht="22.5">
      <c r="A63" s="395"/>
      <c r="B63" s="393"/>
      <c r="C63" s="393"/>
      <c r="D63" s="381"/>
      <c r="E63" s="393"/>
      <c r="F63" s="377"/>
    </row>
    <row r="64" spans="1:6" ht="22.5">
      <c r="A64" s="673"/>
      <c r="B64" s="674"/>
      <c r="C64" s="674"/>
      <c r="D64" s="674"/>
      <c r="E64" s="674"/>
      <c r="F64" s="675"/>
    </row>
    <row r="65" spans="1:6" ht="22.5">
      <c r="A65" s="395"/>
      <c r="B65" s="392"/>
      <c r="C65" s="393"/>
      <c r="D65" s="381"/>
      <c r="E65" s="394"/>
      <c r="F65" s="384"/>
    </row>
    <row r="66" spans="1:6" ht="22.5">
      <c r="A66" s="386"/>
      <c r="B66" s="399"/>
      <c r="C66" s="399"/>
      <c r="D66" s="399"/>
      <c r="E66" s="399"/>
      <c r="F66" s="400"/>
    </row>
    <row r="71" ht="23.25" customHeight="1"/>
    <row r="72" ht="23.25" customHeight="1"/>
    <row r="73" ht="23.25" customHeight="1"/>
    <row r="74" ht="23.25" customHeight="1"/>
    <row r="75" ht="23.25" customHeight="1"/>
    <row r="76" spans="1:6" ht="22.5">
      <c r="A76" s="668" t="s">
        <v>0</v>
      </c>
      <c r="B76" s="668"/>
      <c r="C76" s="668"/>
      <c r="D76" s="668"/>
      <c r="E76" s="668"/>
      <c r="F76" s="668"/>
    </row>
    <row r="77" spans="1:6" ht="22.5">
      <c r="A77" s="668" t="s">
        <v>343</v>
      </c>
      <c r="B77" s="668"/>
      <c r="C77" s="668"/>
      <c r="D77" s="668"/>
      <c r="E77" s="668"/>
      <c r="F77" s="668"/>
    </row>
    <row r="78" spans="1:6" ht="22.5">
      <c r="A78" s="669" t="s">
        <v>322</v>
      </c>
      <c r="B78" s="669"/>
      <c r="C78" s="669"/>
      <c r="D78" s="669"/>
      <c r="E78" s="669"/>
      <c r="F78" s="669"/>
    </row>
    <row r="79" spans="1:6" ht="22.5">
      <c r="A79" s="369" t="s">
        <v>314</v>
      </c>
      <c r="B79" s="369"/>
      <c r="C79" s="369"/>
      <c r="D79" s="369"/>
      <c r="E79" s="369"/>
      <c r="F79" s="369"/>
    </row>
    <row r="80" spans="1:6" ht="22.5">
      <c r="A80" s="370" t="s">
        <v>36</v>
      </c>
      <c r="B80" s="371" t="s">
        <v>35</v>
      </c>
      <c r="C80" s="670" t="s">
        <v>315</v>
      </c>
      <c r="D80" s="671"/>
      <c r="E80" s="670" t="s">
        <v>38</v>
      </c>
      <c r="F80" s="671"/>
    </row>
    <row r="81" spans="1:6" ht="22.5">
      <c r="A81" s="372" t="s">
        <v>342</v>
      </c>
      <c r="B81" s="373"/>
      <c r="C81" s="374">
        <v>1190</v>
      </c>
      <c r="D81" s="375" t="s">
        <v>53</v>
      </c>
      <c r="E81" s="376"/>
      <c r="F81" s="377"/>
    </row>
    <row r="82" spans="1:6" ht="22.5">
      <c r="A82" s="378" t="s">
        <v>39</v>
      </c>
      <c r="B82" s="379"/>
      <c r="C82" s="380"/>
      <c r="D82" s="381"/>
      <c r="E82" s="382">
        <f>C81</f>
        <v>1190</v>
      </c>
      <c r="F82" s="379" t="s">
        <v>53</v>
      </c>
    </row>
    <row r="83" spans="1:6" ht="22.5">
      <c r="A83" s="372"/>
      <c r="B83" s="379"/>
      <c r="C83" s="380"/>
      <c r="D83" s="381"/>
      <c r="E83" s="383"/>
      <c r="F83" s="384"/>
    </row>
    <row r="84" spans="1:6" ht="22.5">
      <c r="A84" s="372"/>
      <c r="B84" s="379"/>
      <c r="C84" s="383"/>
      <c r="D84" s="381"/>
      <c r="E84" s="383"/>
      <c r="F84" s="384"/>
    </row>
    <row r="85" spans="1:6" ht="22.5">
      <c r="A85" s="372"/>
      <c r="B85" s="379"/>
      <c r="C85" s="383"/>
      <c r="D85" s="381"/>
      <c r="E85" s="383"/>
      <c r="F85" s="384"/>
    </row>
    <row r="86" spans="1:6" ht="22.5">
      <c r="A86" s="372"/>
      <c r="B86" s="379"/>
      <c r="C86" s="383"/>
      <c r="D86" s="381"/>
      <c r="E86" s="383"/>
      <c r="F86" s="384"/>
    </row>
    <row r="87" spans="1:6" ht="22.5">
      <c r="A87" s="385"/>
      <c r="B87" s="379"/>
      <c r="C87" s="380"/>
      <c r="D87" s="381"/>
      <c r="E87" s="383"/>
      <c r="F87" s="384"/>
    </row>
    <row r="88" spans="1:6" ht="22.5">
      <c r="A88" s="372"/>
      <c r="B88" s="379"/>
      <c r="C88" s="380"/>
      <c r="D88" s="381"/>
      <c r="E88" s="383"/>
      <c r="F88" s="384"/>
    </row>
    <row r="89" spans="1:6" ht="22.5">
      <c r="A89" s="372"/>
      <c r="B89" s="379"/>
      <c r="C89" s="372"/>
      <c r="D89" s="381"/>
      <c r="E89" s="380"/>
      <c r="F89" s="384"/>
    </row>
    <row r="90" spans="1:6" ht="22.5">
      <c r="A90" s="386"/>
      <c r="B90" s="387"/>
      <c r="C90" s="388"/>
      <c r="D90" s="389"/>
      <c r="E90" s="390"/>
      <c r="F90" s="389"/>
    </row>
    <row r="91" spans="1:6" ht="22.5">
      <c r="A91" s="391" t="s">
        <v>323</v>
      </c>
      <c r="B91" s="392"/>
      <c r="C91" s="393"/>
      <c r="D91" s="381"/>
      <c r="E91" s="394"/>
      <c r="F91" s="384"/>
    </row>
    <row r="92" spans="1:6" ht="22.5">
      <c r="A92" s="673" t="s">
        <v>344</v>
      </c>
      <c r="B92" s="674"/>
      <c r="C92" s="674"/>
      <c r="D92" s="674"/>
      <c r="E92" s="674"/>
      <c r="F92" s="675"/>
    </row>
    <row r="93" spans="1:6" ht="22.5">
      <c r="A93" s="395"/>
      <c r="B93" s="392"/>
      <c r="C93" s="393"/>
      <c r="D93" s="381"/>
      <c r="E93" s="394"/>
      <c r="F93" s="384"/>
    </row>
    <row r="94" spans="1:6" ht="22.5">
      <c r="A94" s="396"/>
      <c r="B94" s="397"/>
      <c r="C94" s="393"/>
      <c r="D94" s="381"/>
      <c r="E94" s="394"/>
      <c r="F94" s="384"/>
    </row>
    <row r="95" spans="1:6" ht="22.5">
      <c r="A95" s="396"/>
      <c r="B95" s="397"/>
      <c r="C95" s="393"/>
      <c r="D95" s="381"/>
      <c r="E95" s="394"/>
      <c r="F95" s="384"/>
    </row>
    <row r="96" spans="1:6" ht="22.5">
      <c r="A96" s="396"/>
      <c r="B96" s="397"/>
      <c r="C96" s="393"/>
      <c r="D96" s="381"/>
      <c r="E96" s="394"/>
      <c r="F96" s="384"/>
    </row>
    <row r="97" spans="1:6" ht="22.5">
      <c r="A97" s="398"/>
      <c r="B97" s="392"/>
      <c r="C97" s="393"/>
      <c r="D97" s="381"/>
      <c r="E97" s="394"/>
      <c r="F97" s="384"/>
    </row>
    <row r="98" spans="1:6" ht="22.5">
      <c r="A98" s="398"/>
      <c r="B98" s="392"/>
      <c r="C98" s="393"/>
      <c r="D98" s="381"/>
      <c r="E98" s="394"/>
      <c r="F98" s="384"/>
    </row>
    <row r="99" spans="1:6" ht="22.5">
      <c r="A99" s="395" t="s">
        <v>324</v>
      </c>
      <c r="B99" s="393"/>
      <c r="C99" s="393"/>
      <c r="D99" s="381"/>
      <c r="E99" s="393"/>
      <c r="F99" s="377"/>
    </row>
    <row r="100" spans="1:6" ht="22.5">
      <c r="A100" s="395"/>
      <c r="B100" s="393"/>
      <c r="C100" s="393"/>
      <c r="D100" s="381"/>
      <c r="E100" s="393"/>
      <c r="F100" s="377"/>
    </row>
    <row r="101" spans="1:6" ht="22.5">
      <c r="A101" s="673"/>
      <c r="B101" s="674"/>
      <c r="C101" s="674"/>
      <c r="D101" s="674"/>
      <c r="E101" s="674"/>
      <c r="F101" s="675"/>
    </row>
    <row r="102" spans="1:6" ht="22.5">
      <c r="A102" s="395"/>
      <c r="B102" s="392"/>
      <c r="C102" s="393"/>
      <c r="D102" s="381"/>
      <c r="E102" s="394"/>
      <c r="F102" s="384"/>
    </row>
    <row r="103" spans="1:6" ht="22.5">
      <c r="A103" s="386"/>
      <c r="B103" s="399"/>
      <c r="C103" s="399"/>
      <c r="D103" s="399"/>
      <c r="E103" s="399"/>
      <c r="F103" s="400"/>
    </row>
    <row r="104" spans="1:6" ht="22.5">
      <c r="A104" s="393"/>
      <c r="B104" s="393"/>
      <c r="C104" s="393"/>
      <c r="D104" s="393"/>
      <c r="E104" s="393"/>
      <c r="F104" s="393"/>
    </row>
    <row r="105" spans="1:6" ht="22.5">
      <c r="A105" s="393"/>
      <c r="B105" s="393"/>
      <c r="C105" s="393"/>
      <c r="D105" s="393"/>
      <c r="E105" s="393"/>
      <c r="F105" s="393"/>
    </row>
    <row r="106" spans="1:6" ht="22.5">
      <c r="A106" s="393"/>
      <c r="B106" s="393"/>
      <c r="C106" s="393"/>
      <c r="D106" s="393"/>
      <c r="E106" s="393"/>
      <c r="F106" s="393"/>
    </row>
    <row r="107" spans="1:6" ht="22.5">
      <c r="A107" s="393"/>
      <c r="B107" s="393"/>
      <c r="C107" s="393"/>
      <c r="D107" s="393"/>
      <c r="E107" s="393"/>
      <c r="F107" s="393"/>
    </row>
    <row r="108" spans="1:6" ht="22.5">
      <c r="A108" s="393"/>
      <c r="B108" s="393"/>
      <c r="C108" s="393"/>
      <c r="D108" s="393"/>
      <c r="E108" s="393"/>
      <c r="F108" s="393"/>
    </row>
    <row r="109" spans="1:6" ht="22.5">
      <c r="A109" s="393"/>
      <c r="B109" s="393"/>
      <c r="C109" s="393"/>
      <c r="D109" s="393"/>
      <c r="E109" s="393"/>
      <c r="F109" s="393"/>
    </row>
    <row r="110" spans="1:6" ht="22.5">
      <c r="A110" s="393"/>
      <c r="B110" s="393"/>
      <c r="C110" s="393"/>
      <c r="D110" s="393"/>
      <c r="E110" s="393"/>
      <c r="F110" s="393"/>
    </row>
    <row r="111" spans="1:6" ht="22.5">
      <c r="A111" s="393"/>
      <c r="B111" s="393"/>
      <c r="C111" s="393"/>
      <c r="D111" s="393"/>
      <c r="E111" s="393"/>
      <c r="F111" s="393"/>
    </row>
    <row r="112" spans="1:6" ht="22.5">
      <c r="A112" s="393"/>
      <c r="B112" s="393"/>
      <c r="C112" s="393"/>
      <c r="D112" s="393"/>
      <c r="E112" s="393"/>
      <c r="F112" s="393"/>
    </row>
    <row r="113" spans="1:6" ht="22.5">
      <c r="A113" s="393"/>
      <c r="B113" s="393"/>
      <c r="C113" s="393"/>
      <c r="D113" s="393"/>
      <c r="E113" s="393"/>
      <c r="F113" s="393"/>
    </row>
    <row r="114" spans="1:6" ht="22.5">
      <c r="A114" s="668" t="s">
        <v>0</v>
      </c>
      <c r="B114" s="668"/>
      <c r="C114" s="668"/>
      <c r="D114" s="668"/>
      <c r="E114" s="668"/>
      <c r="F114" s="668"/>
    </row>
    <row r="115" spans="1:6" ht="22.5">
      <c r="A115" s="668" t="s">
        <v>343</v>
      </c>
      <c r="B115" s="668"/>
      <c r="C115" s="668"/>
      <c r="D115" s="668"/>
      <c r="E115" s="668"/>
      <c r="F115" s="668"/>
    </row>
    <row r="116" spans="1:6" ht="22.5">
      <c r="A116" s="669" t="s">
        <v>322</v>
      </c>
      <c r="B116" s="669"/>
      <c r="C116" s="669"/>
      <c r="D116" s="669"/>
      <c r="E116" s="669"/>
      <c r="F116" s="669"/>
    </row>
    <row r="117" spans="1:6" ht="22.5">
      <c r="A117" s="369" t="s">
        <v>314</v>
      </c>
      <c r="B117" s="369"/>
      <c r="C117" s="369"/>
      <c r="D117" s="369"/>
      <c r="E117" s="369"/>
      <c r="F117" s="369"/>
    </row>
    <row r="118" spans="1:6" ht="22.5">
      <c r="A118" s="370" t="s">
        <v>36</v>
      </c>
      <c r="B118" s="371" t="s">
        <v>35</v>
      </c>
      <c r="C118" s="670" t="s">
        <v>315</v>
      </c>
      <c r="D118" s="671"/>
      <c r="E118" s="670" t="s">
        <v>38</v>
      </c>
      <c r="F118" s="671"/>
    </row>
    <row r="119" spans="1:6" ht="22.5">
      <c r="A119" s="372" t="s">
        <v>345</v>
      </c>
      <c r="B119" s="373"/>
      <c r="C119" s="374">
        <v>1190</v>
      </c>
      <c r="D119" s="375" t="s">
        <v>53</v>
      </c>
      <c r="E119" s="376"/>
      <c r="F119" s="377"/>
    </row>
    <row r="120" spans="1:6" ht="22.5">
      <c r="A120" s="378" t="s">
        <v>48</v>
      </c>
      <c r="B120" s="379"/>
      <c r="C120" s="380"/>
      <c r="D120" s="381"/>
      <c r="E120" s="382">
        <f>C119</f>
        <v>1190</v>
      </c>
      <c r="F120" s="379" t="s">
        <v>53</v>
      </c>
    </row>
    <row r="121" spans="1:6" ht="22.5">
      <c r="A121" s="372"/>
      <c r="B121" s="379"/>
      <c r="C121" s="380"/>
      <c r="D121" s="381"/>
      <c r="E121" s="383"/>
      <c r="F121" s="384"/>
    </row>
    <row r="122" spans="1:6" ht="22.5">
      <c r="A122" s="372"/>
      <c r="B122" s="379"/>
      <c r="C122" s="383"/>
      <c r="D122" s="381"/>
      <c r="E122" s="383"/>
      <c r="F122" s="384"/>
    </row>
    <row r="123" spans="1:6" ht="22.5">
      <c r="A123" s="372"/>
      <c r="B123" s="379"/>
      <c r="C123" s="383"/>
      <c r="D123" s="381"/>
      <c r="E123" s="383"/>
      <c r="F123" s="384"/>
    </row>
    <row r="124" spans="1:6" ht="22.5">
      <c r="A124" s="372"/>
      <c r="B124" s="379"/>
      <c r="C124" s="383"/>
      <c r="D124" s="381"/>
      <c r="E124" s="383"/>
      <c r="F124" s="384"/>
    </row>
    <row r="125" spans="1:6" ht="22.5">
      <c r="A125" s="385"/>
      <c r="B125" s="379"/>
      <c r="C125" s="380"/>
      <c r="D125" s="381"/>
      <c r="E125" s="383"/>
      <c r="F125" s="384"/>
    </row>
    <row r="126" spans="1:6" ht="22.5">
      <c r="A126" s="372"/>
      <c r="B126" s="379"/>
      <c r="C126" s="380"/>
      <c r="D126" s="381"/>
      <c r="E126" s="383"/>
      <c r="F126" s="384"/>
    </row>
    <row r="127" spans="1:6" ht="22.5">
      <c r="A127" s="372"/>
      <c r="B127" s="379"/>
      <c r="C127" s="372"/>
      <c r="D127" s="381"/>
      <c r="E127" s="380"/>
      <c r="F127" s="384"/>
    </row>
    <row r="128" spans="1:6" ht="22.5">
      <c r="A128" s="386"/>
      <c r="B128" s="387"/>
      <c r="C128" s="388"/>
      <c r="D128" s="389"/>
      <c r="E128" s="390"/>
      <c r="F128" s="389"/>
    </row>
    <row r="129" spans="1:6" ht="22.5">
      <c r="A129" s="391" t="s">
        <v>323</v>
      </c>
      <c r="B129" s="392"/>
      <c r="C129" s="393"/>
      <c r="D129" s="381"/>
      <c r="E129" s="394"/>
      <c r="F129" s="384"/>
    </row>
    <row r="130" spans="1:6" ht="22.5">
      <c r="A130" s="673" t="s">
        <v>346</v>
      </c>
      <c r="B130" s="674"/>
      <c r="C130" s="674"/>
      <c r="D130" s="674"/>
      <c r="E130" s="674"/>
      <c r="F130" s="675"/>
    </row>
    <row r="131" spans="1:6" ht="22.5">
      <c r="A131" s="395"/>
      <c r="B131" s="392"/>
      <c r="C131" s="393"/>
      <c r="D131" s="381"/>
      <c r="E131" s="394"/>
      <c r="F131" s="384"/>
    </row>
    <row r="132" spans="1:6" ht="22.5">
      <c r="A132" s="396"/>
      <c r="B132" s="397"/>
      <c r="C132" s="393"/>
      <c r="D132" s="381"/>
      <c r="E132" s="394"/>
      <c r="F132" s="384"/>
    </row>
    <row r="133" spans="1:6" ht="22.5">
      <c r="A133" s="396"/>
      <c r="B133" s="397"/>
      <c r="C133" s="393"/>
      <c r="D133" s="381"/>
      <c r="E133" s="394"/>
      <c r="F133" s="384"/>
    </row>
    <row r="134" spans="1:6" ht="22.5">
      <c r="A134" s="396"/>
      <c r="B134" s="397"/>
      <c r="C134" s="393"/>
      <c r="D134" s="381"/>
      <c r="E134" s="394"/>
      <c r="F134" s="384"/>
    </row>
    <row r="135" spans="1:6" ht="22.5">
      <c r="A135" s="398"/>
      <c r="B135" s="392"/>
      <c r="C135" s="393"/>
      <c r="D135" s="381"/>
      <c r="E135" s="394"/>
      <c r="F135" s="384"/>
    </row>
    <row r="136" spans="1:6" ht="22.5">
      <c r="A136" s="398"/>
      <c r="B136" s="392"/>
      <c r="C136" s="393"/>
      <c r="D136" s="381"/>
      <c r="E136" s="394"/>
      <c r="F136" s="384"/>
    </row>
    <row r="137" spans="1:6" ht="22.5">
      <c r="A137" s="395" t="s">
        <v>324</v>
      </c>
      <c r="B137" s="393"/>
      <c r="C137" s="393"/>
      <c r="D137" s="381"/>
      <c r="E137" s="393"/>
      <c r="F137" s="377"/>
    </row>
    <row r="138" spans="1:6" ht="22.5">
      <c r="A138" s="395"/>
      <c r="B138" s="393"/>
      <c r="C138" s="393"/>
      <c r="D138" s="381"/>
      <c r="E138" s="393"/>
      <c r="F138" s="377"/>
    </row>
    <row r="139" spans="1:6" ht="22.5">
      <c r="A139" s="673"/>
      <c r="B139" s="674"/>
      <c r="C139" s="674"/>
      <c r="D139" s="674"/>
      <c r="E139" s="674"/>
      <c r="F139" s="675"/>
    </row>
    <row r="140" spans="1:6" ht="22.5">
      <c r="A140" s="395"/>
      <c r="B140" s="392"/>
      <c r="C140" s="393"/>
      <c r="D140" s="381"/>
      <c r="E140" s="394"/>
      <c r="F140" s="384"/>
    </row>
    <row r="141" spans="1:6" ht="22.5">
      <c r="A141" s="386"/>
      <c r="B141" s="399"/>
      <c r="C141" s="399"/>
      <c r="D141" s="399"/>
      <c r="E141" s="399"/>
      <c r="F141" s="400"/>
    </row>
    <row r="142" spans="1:6" ht="22.5">
      <c r="A142" s="393"/>
      <c r="B142" s="393"/>
      <c r="C142" s="393"/>
      <c r="D142" s="393"/>
      <c r="E142" s="393"/>
      <c r="F142" s="393"/>
    </row>
    <row r="143" spans="1:6" ht="22.5">
      <c r="A143" s="393"/>
      <c r="B143" s="393"/>
      <c r="C143" s="393"/>
      <c r="D143" s="393"/>
      <c r="E143" s="393"/>
      <c r="F143" s="393"/>
    </row>
    <row r="144" spans="1:6" ht="22.5">
      <c r="A144" s="393"/>
      <c r="B144" s="393"/>
      <c r="C144" s="393"/>
      <c r="D144" s="393"/>
      <c r="E144" s="393"/>
      <c r="F144" s="393"/>
    </row>
    <row r="145" spans="1:6" ht="22.5">
      <c r="A145" s="393"/>
      <c r="B145" s="393"/>
      <c r="C145" s="393"/>
      <c r="D145" s="393"/>
      <c r="E145" s="393"/>
      <c r="F145" s="393"/>
    </row>
    <row r="146" spans="1:6" ht="22.5">
      <c r="A146" s="393"/>
      <c r="B146" s="393"/>
      <c r="C146" s="393"/>
      <c r="D146" s="393"/>
      <c r="E146" s="393"/>
      <c r="F146" s="393"/>
    </row>
    <row r="147" spans="1:6" ht="22.5">
      <c r="A147" s="393"/>
      <c r="B147" s="393"/>
      <c r="C147" s="393"/>
      <c r="D147" s="393"/>
      <c r="E147" s="393"/>
      <c r="F147" s="393"/>
    </row>
    <row r="148" spans="1:6" ht="22.5">
      <c r="A148" s="393"/>
      <c r="B148" s="393"/>
      <c r="C148" s="393"/>
      <c r="D148" s="393"/>
      <c r="E148" s="393"/>
      <c r="F148" s="393"/>
    </row>
    <row r="149" spans="1:6" ht="22.5">
      <c r="A149" s="393"/>
      <c r="B149" s="393"/>
      <c r="C149" s="393"/>
      <c r="D149" s="393"/>
      <c r="E149" s="393"/>
      <c r="F149" s="393"/>
    </row>
    <row r="150" spans="1:6" ht="22.5">
      <c r="A150" s="393"/>
      <c r="B150" s="393"/>
      <c r="C150" s="393"/>
      <c r="D150" s="393"/>
      <c r="E150" s="393"/>
      <c r="F150" s="393"/>
    </row>
    <row r="151" spans="1:6" ht="22.5">
      <c r="A151" s="393"/>
      <c r="B151" s="393"/>
      <c r="C151" s="393"/>
      <c r="D151" s="393"/>
      <c r="E151" s="393"/>
      <c r="F151" s="393"/>
    </row>
    <row r="152" spans="1:6" ht="22.5">
      <c r="A152" s="668" t="s">
        <v>0</v>
      </c>
      <c r="B152" s="668"/>
      <c r="C152" s="668"/>
      <c r="D152" s="668"/>
      <c r="E152" s="668"/>
      <c r="F152" s="668"/>
    </row>
    <row r="153" spans="1:6" ht="22.5">
      <c r="A153" s="668" t="s">
        <v>343</v>
      </c>
      <c r="B153" s="668"/>
      <c r="C153" s="668"/>
      <c r="D153" s="668"/>
      <c r="E153" s="668"/>
      <c r="F153" s="668"/>
    </row>
    <row r="154" spans="1:6" ht="22.5">
      <c r="A154" s="669" t="s">
        <v>322</v>
      </c>
      <c r="B154" s="669"/>
      <c r="C154" s="669"/>
      <c r="D154" s="669"/>
      <c r="E154" s="669"/>
      <c r="F154" s="669"/>
    </row>
    <row r="155" spans="1:6" ht="22.5">
      <c r="A155" s="369" t="s">
        <v>314</v>
      </c>
      <c r="B155" s="369"/>
      <c r="C155" s="369"/>
      <c r="D155" s="369"/>
      <c r="E155" s="369"/>
      <c r="F155" s="369"/>
    </row>
    <row r="156" spans="1:6" ht="22.5">
      <c r="A156" s="370" t="s">
        <v>36</v>
      </c>
      <c r="B156" s="371" t="s">
        <v>35</v>
      </c>
      <c r="C156" s="670" t="s">
        <v>315</v>
      </c>
      <c r="D156" s="671"/>
      <c r="E156" s="670" t="s">
        <v>38</v>
      </c>
      <c r="F156" s="671"/>
    </row>
    <row r="157" spans="1:6" ht="22.5">
      <c r="A157" s="372" t="s">
        <v>44</v>
      </c>
      <c r="B157" s="373" t="s">
        <v>339</v>
      </c>
      <c r="C157" s="374">
        <v>149105</v>
      </c>
      <c r="D157" s="375">
        <v>30</v>
      </c>
      <c r="E157" s="376"/>
      <c r="F157" s="377"/>
    </row>
    <row r="158" spans="1:6" ht="22.5">
      <c r="A158" s="378" t="s">
        <v>44</v>
      </c>
      <c r="B158" s="379" t="s">
        <v>328</v>
      </c>
      <c r="C158" s="380"/>
      <c r="D158" s="381"/>
      <c r="E158" s="382">
        <f>C157</f>
        <v>149105</v>
      </c>
      <c r="F158" s="379" t="s">
        <v>363</v>
      </c>
    </row>
    <row r="159" spans="1:6" ht="22.5">
      <c r="A159" s="372"/>
      <c r="B159" s="379"/>
      <c r="C159" s="380"/>
      <c r="D159" s="381"/>
      <c r="E159" s="383"/>
      <c r="F159" s="384"/>
    </row>
    <row r="160" spans="1:6" ht="22.5">
      <c r="A160" s="372"/>
      <c r="B160" s="379"/>
      <c r="C160" s="383"/>
      <c r="D160" s="381"/>
      <c r="E160" s="383"/>
      <c r="F160" s="384"/>
    </row>
    <row r="161" spans="1:6" ht="22.5">
      <c r="A161" s="372"/>
      <c r="B161" s="379"/>
      <c r="C161" s="383"/>
      <c r="D161" s="381"/>
      <c r="E161" s="383"/>
      <c r="F161" s="384"/>
    </row>
    <row r="162" spans="1:6" ht="22.5">
      <c r="A162" s="372"/>
      <c r="B162" s="379"/>
      <c r="C162" s="383"/>
      <c r="D162" s="381"/>
      <c r="E162" s="383"/>
      <c r="F162" s="384"/>
    </row>
    <row r="163" spans="1:6" ht="22.5">
      <c r="A163" s="385"/>
      <c r="B163" s="379"/>
      <c r="C163" s="380"/>
      <c r="D163" s="381"/>
      <c r="E163" s="383"/>
      <c r="F163" s="384"/>
    </row>
    <row r="164" spans="1:6" ht="22.5">
      <c r="A164" s="372"/>
      <c r="B164" s="379"/>
      <c r="C164" s="380"/>
      <c r="D164" s="381"/>
      <c r="E164" s="383"/>
      <c r="F164" s="384"/>
    </row>
    <row r="165" spans="1:6" ht="22.5">
      <c r="A165" s="372"/>
      <c r="B165" s="379"/>
      <c r="C165" s="372"/>
      <c r="D165" s="381"/>
      <c r="E165" s="380"/>
      <c r="F165" s="384"/>
    </row>
    <row r="166" spans="1:6" ht="22.5">
      <c r="A166" s="386"/>
      <c r="B166" s="387"/>
      <c r="C166" s="388"/>
      <c r="D166" s="389"/>
      <c r="E166" s="390"/>
      <c r="F166" s="389"/>
    </row>
    <row r="167" spans="1:6" ht="22.5">
      <c r="A167" s="391" t="s">
        <v>323</v>
      </c>
      <c r="B167" s="392"/>
      <c r="C167" s="393"/>
      <c r="D167" s="381"/>
      <c r="E167" s="394"/>
      <c r="F167" s="384"/>
    </row>
    <row r="168" spans="1:6" ht="22.5">
      <c r="A168" s="673" t="s">
        <v>364</v>
      </c>
      <c r="B168" s="674"/>
      <c r="C168" s="674"/>
      <c r="D168" s="674"/>
      <c r="E168" s="674"/>
      <c r="F168" s="675"/>
    </row>
    <row r="169" spans="1:6" ht="22.5">
      <c r="A169" s="395"/>
      <c r="B169" s="392"/>
      <c r="C169" s="393"/>
      <c r="D169" s="381"/>
      <c r="E169" s="394"/>
      <c r="F169" s="384"/>
    </row>
    <row r="170" spans="1:6" ht="22.5">
      <c r="A170" s="396"/>
      <c r="B170" s="397"/>
      <c r="C170" s="393"/>
      <c r="D170" s="381"/>
      <c r="E170" s="394"/>
      <c r="F170" s="384"/>
    </row>
    <row r="171" spans="1:6" ht="22.5">
      <c r="A171" s="396"/>
      <c r="B171" s="397"/>
      <c r="C171" s="393"/>
      <c r="D171" s="381"/>
      <c r="E171" s="394"/>
      <c r="F171" s="384"/>
    </row>
    <row r="172" spans="1:6" ht="22.5">
      <c r="A172" s="396"/>
      <c r="B172" s="397"/>
      <c r="C172" s="393"/>
      <c r="D172" s="381"/>
      <c r="E172" s="394"/>
      <c r="F172" s="384"/>
    </row>
    <row r="173" spans="1:6" ht="22.5">
      <c r="A173" s="398"/>
      <c r="B173" s="392"/>
      <c r="C173" s="393"/>
      <c r="D173" s="381"/>
      <c r="E173" s="394"/>
      <c r="F173" s="384"/>
    </row>
    <row r="174" spans="1:6" ht="22.5">
      <c r="A174" s="398"/>
      <c r="B174" s="392"/>
      <c r="C174" s="393"/>
      <c r="D174" s="381"/>
      <c r="E174" s="394"/>
      <c r="F174" s="384"/>
    </row>
    <row r="175" spans="1:6" ht="22.5">
      <c r="A175" s="395" t="s">
        <v>324</v>
      </c>
      <c r="B175" s="393"/>
      <c r="C175" s="393"/>
      <c r="D175" s="381"/>
      <c r="E175" s="393"/>
      <c r="F175" s="377"/>
    </row>
    <row r="176" spans="1:6" ht="22.5">
      <c r="A176" s="395"/>
      <c r="B176" s="393"/>
      <c r="C176" s="393"/>
      <c r="D176" s="381"/>
      <c r="E176" s="393"/>
      <c r="F176" s="377"/>
    </row>
    <row r="177" spans="1:6" ht="22.5">
      <c r="A177" s="673"/>
      <c r="B177" s="674"/>
      <c r="C177" s="674"/>
      <c r="D177" s="674"/>
      <c r="E177" s="674"/>
      <c r="F177" s="675"/>
    </row>
    <row r="178" spans="1:6" ht="22.5">
      <c r="A178" s="395"/>
      <c r="B178" s="392"/>
      <c r="C178" s="393"/>
      <c r="D178" s="381"/>
      <c r="E178" s="394"/>
      <c r="F178" s="384"/>
    </row>
    <row r="179" spans="1:6" ht="22.5">
      <c r="A179" s="386"/>
      <c r="B179" s="399"/>
      <c r="C179" s="399"/>
      <c r="D179" s="399"/>
      <c r="E179" s="399"/>
      <c r="F179" s="400"/>
    </row>
    <row r="190" spans="1:6" ht="22.5">
      <c r="A190" s="668" t="s">
        <v>0</v>
      </c>
      <c r="B190" s="668"/>
      <c r="C190" s="668"/>
      <c r="D190" s="668"/>
      <c r="E190" s="668"/>
      <c r="F190" s="668"/>
    </row>
    <row r="191" spans="1:6" ht="22.5">
      <c r="A191" s="668" t="s">
        <v>343</v>
      </c>
      <c r="B191" s="668"/>
      <c r="C191" s="668"/>
      <c r="D191" s="668"/>
      <c r="E191" s="668"/>
      <c r="F191" s="668"/>
    </row>
    <row r="192" spans="1:6" ht="22.5">
      <c r="A192" s="669" t="s">
        <v>322</v>
      </c>
      <c r="B192" s="669"/>
      <c r="C192" s="669"/>
      <c r="D192" s="669"/>
      <c r="E192" s="669"/>
      <c r="F192" s="669"/>
    </row>
    <row r="193" spans="1:6" ht="22.5">
      <c r="A193" s="369" t="s">
        <v>314</v>
      </c>
      <c r="B193" s="369"/>
      <c r="C193" s="369"/>
      <c r="D193" s="369"/>
      <c r="E193" s="369"/>
      <c r="F193" s="369"/>
    </row>
    <row r="194" spans="1:6" ht="22.5">
      <c r="A194" s="370" t="s">
        <v>36</v>
      </c>
      <c r="B194" s="371" t="s">
        <v>35</v>
      </c>
      <c r="C194" s="670" t="s">
        <v>315</v>
      </c>
      <c r="D194" s="671"/>
      <c r="E194" s="670" t="s">
        <v>38</v>
      </c>
      <c r="F194" s="671"/>
    </row>
    <row r="195" spans="1:6" ht="22.5">
      <c r="A195" s="372" t="s">
        <v>365</v>
      </c>
      <c r="B195" s="373"/>
      <c r="C195" s="374">
        <v>90</v>
      </c>
      <c r="D195" s="375" t="s">
        <v>53</v>
      </c>
      <c r="E195" s="376"/>
      <c r="F195" s="377"/>
    </row>
    <row r="196" spans="1:6" ht="22.5">
      <c r="A196" s="378" t="s">
        <v>366</v>
      </c>
      <c r="B196" s="379"/>
      <c r="C196" s="380"/>
      <c r="D196" s="381"/>
      <c r="E196" s="382">
        <f>C195</f>
        <v>90</v>
      </c>
      <c r="F196" s="379" t="s">
        <v>53</v>
      </c>
    </row>
    <row r="197" spans="1:6" ht="22.5">
      <c r="A197" s="372"/>
      <c r="B197" s="379"/>
      <c r="C197" s="380"/>
      <c r="D197" s="381"/>
      <c r="E197" s="383"/>
      <c r="F197" s="384"/>
    </row>
    <row r="198" spans="1:6" ht="22.5">
      <c r="A198" s="372"/>
      <c r="B198" s="379"/>
      <c r="C198" s="383"/>
      <c r="D198" s="381"/>
      <c r="E198" s="383"/>
      <c r="F198" s="384"/>
    </row>
    <row r="199" spans="1:6" ht="22.5">
      <c r="A199" s="372"/>
      <c r="B199" s="379"/>
      <c r="C199" s="383"/>
      <c r="D199" s="381"/>
      <c r="E199" s="383"/>
      <c r="F199" s="384"/>
    </row>
    <row r="200" spans="1:6" ht="22.5">
      <c r="A200" s="372"/>
      <c r="B200" s="379"/>
      <c r="C200" s="383"/>
      <c r="D200" s="381"/>
      <c r="E200" s="383"/>
      <c r="F200" s="384"/>
    </row>
    <row r="201" spans="1:6" ht="22.5">
      <c r="A201" s="385"/>
      <c r="B201" s="379"/>
      <c r="C201" s="380"/>
      <c r="D201" s="381"/>
      <c r="E201" s="383"/>
      <c r="F201" s="384"/>
    </row>
    <row r="202" spans="1:6" ht="22.5">
      <c r="A202" s="372"/>
      <c r="B202" s="379"/>
      <c r="C202" s="380"/>
      <c r="D202" s="381"/>
      <c r="E202" s="383"/>
      <c r="F202" s="384"/>
    </row>
    <row r="203" spans="1:6" ht="22.5">
      <c r="A203" s="372"/>
      <c r="B203" s="379"/>
      <c r="C203" s="372"/>
      <c r="D203" s="381"/>
      <c r="E203" s="380"/>
      <c r="F203" s="384"/>
    </row>
    <row r="204" spans="1:6" ht="22.5">
      <c r="A204" s="386"/>
      <c r="B204" s="387"/>
      <c r="C204" s="388"/>
      <c r="D204" s="389"/>
      <c r="E204" s="390"/>
      <c r="F204" s="389"/>
    </row>
    <row r="205" spans="1:6" ht="22.5">
      <c r="A205" s="391" t="s">
        <v>323</v>
      </c>
      <c r="B205" s="392"/>
      <c r="C205" s="393"/>
      <c r="D205" s="381"/>
      <c r="E205" s="394"/>
      <c r="F205" s="384"/>
    </row>
    <row r="206" spans="1:6" ht="22.5">
      <c r="A206" s="673" t="s">
        <v>367</v>
      </c>
      <c r="B206" s="674"/>
      <c r="C206" s="674"/>
      <c r="D206" s="674"/>
      <c r="E206" s="674"/>
      <c r="F206" s="675"/>
    </row>
    <row r="207" spans="1:6" ht="22.5">
      <c r="A207" s="395"/>
      <c r="B207" s="392"/>
      <c r="C207" s="393"/>
      <c r="D207" s="381"/>
      <c r="E207" s="394"/>
      <c r="F207" s="384"/>
    </row>
    <row r="208" spans="1:6" ht="22.5">
      <c r="A208" s="396"/>
      <c r="B208" s="397"/>
      <c r="C208" s="393"/>
      <c r="D208" s="381"/>
      <c r="E208" s="394"/>
      <c r="F208" s="384"/>
    </row>
    <row r="209" spans="1:6" ht="22.5">
      <c r="A209" s="396"/>
      <c r="B209" s="397"/>
      <c r="C209" s="393"/>
      <c r="D209" s="381"/>
      <c r="E209" s="394"/>
      <c r="F209" s="384"/>
    </row>
    <row r="210" spans="1:6" ht="22.5">
      <c r="A210" s="396"/>
      <c r="B210" s="397"/>
      <c r="C210" s="393"/>
      <c r="D210" s="381"/>
      <c r="E210" s="394"/>
      <c r="F210" s="384"/>
    </row>
    <row r="211" spans="1:6" ht="22.5">
      <c r="A211" s="398"/>
      <c r="B211" s="392"/>
      <c r="C211" s="393"/>
      <c r="D211" s="381"/>
      <c r="E211" s="394"/>
      <c r="F211" s="384"/>
    </row>
    <row r="212" spans="1:6" ht="22.5">
      <c r="A212" s="398"/>
      <c r="B212" s="392"/>
      <c r="C212" s="393"/>
      <c r="D212" s="381"/>
      <c r="E212" s="394"/>
      <c r="F212" s="384"/>
    </row>
    <row r="213" spans="1:6" ht="22.5">
      <c r="A213" s="395" t="s">
        <v>324</v>
      </c>
      <c r="B213" s="393"/>
      <c r="C213" s="393"/>
      <c r="D213" s="381"/>
      <c r="E213" s="393"/>
      <c r="F213" s="377"/>
    </row>
    <row r="214" spans="1:6" ht="22.5">
      <c r="A214" s="395"/>
      <c r="B214" s="393"/>
      <c r="C214" s="393"/>
      <c r="D214" s="381"/>
      <c r="E214" s="393"/>
      <c r="F214" s="377"/>
    </row>
    <row r="215" spans="1:6" ht="22.5">
      <c r="A215" s="673"/>
      <c r="B215" s="674"/>
      <c r="C215" s="674"/>
      <c r="D215" s="674"/>
      <c r="E215" s="674"/>
      <c r="F215" s="675"/>
    </row>
    <row r="216" spans="1:6" ht="22.5">
      <c r="A216" s="395"/>
      <c r="B216" s="392"/>
      <c r="C216" s="393"/>
      <c r="D216" s="381"/>
      <c r="E216" s="394"/>
      <c r="F216" s="384"/>
    </row>
    <row r="217" spans="1:6" ht="22.5">
      <c r="A217" s="386"/>
      <c r="B217" s="399"/>
      <c r="C217" s="399"/>
      <c r="D217" s="399"/>
      <c r="E217" s="399"/>
      <c r="F217" s="400"/>
    </row>
  </sheetData>
  <sheetProtection/>
  <mergeCells count="43">
    <mergeCell ref="A206:F206"/>
    <mergeCell ref="A215:F215"/>
    <mergeCell ref="A190:F190"/>
    <mergeCell ref="A191:F191"/>
    <mergeCell ref="A192:F192"/>
    <mergeCell ref="C194:D194"/>
    <mergeCell ref="E194:F194"/>
    <mergeCell ref="A139:F139"/>
    <mergeCell ref="A116:F116"/>
    <mergeCell ref="C118:D118"/>
    <mergeCell ref="E118:F118"/>
    <mergeCell ref="A130:F130"/>
    <mergeCell ref="A92:F92"/>
    <mergeCell ref="A101:F101"/>
    <mergeCell ref="A114:F114"/>
    <mergeCell ref="A115:F115"/>
    <mergeCell ref="A77:F77"/>
    <mergeCell ref="A78:F78"/>
    <mergeCell ref="C80:D80"/>
    <mergeCell ref="E80:F80"/>
    <mergeCell ref="A1:F1"/>
    <mergeCell ref="A2:F2"/>
    <mergeCell ref="A3:F3"/>
    <mergeCell ref="C5:D5"/>
    <mergeCell ref="E5:F5"/>
    <mergeCell ref="C43:D43"/>
    <mergeCell ref="E43:F43"/>
    <mergeCell ref="A17:F17"/>
    <mergeCell ref="A26:F26"/>
    <mergeCell ref="A38:F38"/>
    <mergeCell ref="A39:F39"/>
    <mergeCell ref="A40:F40"/>
    <mergeCell ref="A41:F41"/>
    <mergeCell ref="A55:F55"/>
    <mergeCell ref="A64:F64"/>
    <mergeCell ref="A168:F168"/>
    <mergeCell ref="A177:F177"/>
    <mergeCell ref="A152:F152"/>
    <mergeCell ref="A153:F153"/>
    <mergeCell ref="A154:F154"/>
    <mergeCell ref="C156:D156"/>
    <mergeCell ref="E156:F156"/>
    <mergeCell ref="A76:F76"/>
  </mergeCells>
  <printOptions/>
  <pageMargins left="0.78" right="0.17" top="0.63" bottom="1" header="0.26" footer="0.5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282"/>
  <sheetViews>
    <sheetView view="pageBreakPreview" zoomScaleSheetLayoutView="100" workbookViewId="0" topLeftCell="A1">
      <selection activeCell="M6" sqref="M6"/>
    </sheetView>
  </sheetViews>
  <sheetFormatPr defaultColWidth="9.140625" defaultRowHeight="21.75"/>
  <cols>
    <col min="1" max="1" width="5.00390625" style="13" customWidth="1"/>
    <col min="2" max="2" width="50.28125" style="13" customWidth="1"/>
    <col min="3" max="3" width="8.00390625" style="13" customWidth="1"/>
    <col min="4" max="4" width="13.421875" style="13" customWidth="1"/>
    <col min="5" max="5" width="4.57421875" style="13" customWidth="1"/>
    <col min="6" max="6" width="11.421875" style="13" customWidth="1"/>
    <col min="7" max="7" width="4.28125" style="13" customWidth="1"/>
    <col min="8" max="16384" width="9.140625" style="13" customWidth="1"/>
  </cols>
  <sheetData>
    <row r="1" spans="2:7" ht="22.5">
      <c r="B1" s="668" t="s">
        <v>556</v>
      </c>
      <c r="C1" s="668"/>
      <c r="D1" s="668"/>
      <c r="E1" s="668"/>
      <c r="F1" s="668"/>
      <c r="G1" s="668"/>
    </row>
    <row r="2" spans="2:7" ht="22.5">
      <c r="B2" s="668" t="s">
        <v>587</v>
      </c>
      <c r="C2" s="668"/>
      <c r="D2" s="668"/>
      <c r="E2" s="668"/>
      <c r="F2" s="668"/>
      <c r="G2" s="668"/>
    </row>
    <row r="3" spans="2:7" ht="22.5">
      <c r="B3" s="669" t="s">
        <v>322</v>
      </c>
      <c r="C3" s="669"/>
      <c r="D3" s="669"/>
      <c r="E3" s="669"/>
      <c r="F3" s="669"/>
      <c r="G3" s="669"/>
    </row>
    <row r="4" spans="2:7" ht="22.5">
      <c r="B4" s="369" t="s">
        <v>491</v>
      </c>
      <c r="C4" s="369"/>
      <c r="D4" s="369"/>
      <c r="E4" s="369"/>
      <c r="F4" s="369"/>
      <c r="G4" s="369"/>
    </row>
    <row r="5" spans="2:7" ht="22.5">
      <c r="B5" s="370" t="s">
        <v>36</v>
      </c>
      <c r="C5" s="371" t="s">
        <v>35</v>
      </c>
      <c r="D5" s="670" t="s">
        <v>315</v>
      </c>
      <c r="E5" s="671"/>
      <c r="F5" s="672" t="s">
        <v>38</v>
      </c>
      <c r="G5" s="671"/>
    </row>
    <row r="6" spans="2:7" ht="23.25">
      <c r="B6" s="376" t="s">
        <v>15</v>
      </c>
      <c r="C6" s="373"/>
      <c r="D6" s="476">
        <v>6688776</v>
      </c>
      <c r="E6" s="392" t="s">
        <v>655</v>
      </c>
      <c r="F6" s="376"/>
      <c r="G6" s="377"/>
    </row>
    <row r="7" spans="2:7" ht="22.5">
      <c r="B7" s="372" t="s">
        <v>16</v>
      </c>
      <c r="C7" s="379"/>
      <c r="D7" s="380"/>
      <c r="E7" s="381"/>
      <c r="F7" s="380">
        <f>D6</f>
        <v>6688776</v>
      </c>
      <c r="G7" s="412" t="str">
        <f>E6</f>
        <v>18</v>
      </c>
    </row>
    <row r="8" spans="2:7" ht="22.5">
      <c r="B8" s="372"/>
      <c r="C8" s="379"/>
      <c r="D8" s="380"/>
      <c r="E8" s="381"/>
      <c r="F8" s="383"/>
      <c r="G8" s="384"/>
    </row>
    <row r="9" spans="2:7" ht="22.5">
      <c r="B9" s="372"/>
      <c r="C9" s="379"/>
      <c r="D9" s="383"/>
      <c r="E9" s="381"/>
      <c r="F9" s="383"/>
      <c r="G9" s="384"/>
    </row>
    <row r="10" spans="2:7" ht="22.5">
      <c r="B10" s="372"/>
      <c r="C10" s="379"/>
      <c r="D10" s="383"/>
      <c r="E10" s="381"/>
      <c r="F10" s="383"/>
      <c r="G10" s="384"/>
    </row>
    <row r="11" spans="2:7" ht="22.5">
      <c r="B11" s="372"/>
      <c r="C11" s="379"/>
      <c r="D11" s="383"/>
      <c r="E11" s="381"/>
      <c r="F11" s="383"/>
      <c r="G11" s="384"/>
    </row>
    <row r="12" spans="2:7" ht="22.5">
      <c r="B12" s="385"/>
      <c r="C12" s="379"/>
      <c r="D12" s="380"/>
      <c r="E12" s="381"/>
      <c r="F12" s="383"/>
      <c r="G12" s="384"/>
    </row>
    <row r="13" spans="2:7" ht="22.5">
      <c r="B13" s="372"/>
      <c r="C13" s="379"/>
      <c r="D13" s="380"/>
      <c r="E13" s="381"/>
      <c r="F13" s="383"/>
      <c r="G13" s="384"/>
    </row>
    <row r="14" spans="2:7" ht="22.5">
      <c r="B14" s="372"/>
      <c r="C14" s="379"/>
      <c r="D14" s="380"/>
      <c r="E14" s="381"/>
      <c r="F14" s="383"/>
      <c r="G14" s="405"/>
    </row>
    <row r="15" spans="2:7" ht="22.5">
      <c r="B15" s="372"/>
      <c r="C15" s="379"/>
      <c r="D15" s="380"/>
      <c r="E15" s="381"/>
      <c r="F15" s="383"/>
      <c r="G15" s="384"/>
    </row>
    <row r="16" spans="2:7" ht="22.5">
      <c r="B16" s="372"/>
      <c r="C16" s="379"/>
      <c r="D16" s="380"/>
      <c r="E16" s="381"/>
      <c r="F16" s="383"/>
      <c r="G16" s="384"/>
    </row>
    <row r="17" spans="2:7" ht="22.5">
      <c r="B17" s="372"/>
      <c r="C17" s="379"/>
      <c r="D17" s="380"/>
      <c r="E17" s="381"/>
      <c r="F17" s="383"/>
      <c r="G17" s="384"/>
    </row>
    <row r="18" spans="2:7" ht="22.5">
      <c r="B18" s="372"/>
      <c r="C18" s="379"/>
      <c r="D18" s="383"/>
      <c r="E18" s="381"/>
      <c r="F18" s="383"/>
      <c r="G18" s="384"/>
    </row>
    <row r="19" spans="2:7" ht="22.5">
      <c r="B19" s="372"/>
      <c r="C19" s="379"/>
      <c r="D19" s="380"/>
      <c r="E19" s="381"/>
      <c r="F19" s="383"/>
      <c r="G19" s="384"/>
    </row>
    <row r="20" spans="2:7" ht="22.5">
      <c r="B20" s="372"/>
      <c r="C20" s="379"/>
      <c r="D20" s="380"/>
      <c r="E20" s="381"/>
      <c r="F20" s="383"/>
      <c r="G20" s="384"/>
    </row>
    <row r="21" spans="2:7" ht="22.5">
      <c r="B21" s="372"/>
      <c r="C21" s="379"/>
      <c r="D21" s="380"/>
      <c r="E21" s="381"/>
      <c r="F21" s="380"/>
      <c r="G21" s="384"/>
    </row>
    <row r="22" spans="2:7" ht="22.5">
      <c r="B22" s="372"/>
      <c r="C22" s="379"/>
      <c r="D22" s="380"/>
      <c r="E22" s="381"/>
      <c r="F22" s="380"/>
      <c r="G22" s="384"/>
    </row>
    <row r="23" spans="2:7" ht="22.5">
      <c r="B23" s="372"/>
      <c r="C23" s="379"/>
      <c r="D23" s="380"/>
      <c r="E23" s="381"/>
      <c r="F23" s="380"/>
      <c r="G23" s="384"/>
    </row>
    <row r="24" spans="2:7" ht="22.5">
      <c r="B24" s="372"/>
      <c r="C24" s="379"/>
      <c r="D24" s="372"/>
      <c r="E24" s="381"/>
      <c r="F24" s="380"/>
      <c r="G24" s="384"/>
    </row>
    <row r="25" spans="2:7" ht="22.5">
      <c r="B25" s="372"/>
      <c r="C25" s="379"/>
      <c r="D25" s="372"/>
      <c r="E25" s="381"/>
      <c r="F25" s="380"/>
      <c r="G25" s="384"/>
    </row>
    <row r="26" spans="2:7" ht="22.5">
      <c r="B26" s="386"/>
      <c r="C26" s="387"/>
      <c r="D26" s="388"/>
      <c r="E26" s="389"/>
      <c r="F26" s="390"/>
      <c r="G26" s="389"/>
    </row>
    <row r="27" spans="2:7" ht="22.5">
      <c r="B27" s="391" t="s">
        <v>323</v>
      </c>
      <c r="C27" s="392"/>
      <c r="D27" s="393"/>
      <c r="E27" s="381"/>
      <c r="F27" s="394"/>
      <c r="G27" s="384"/>
    </row>
    <row r="28" spans="2:7" ht="22.5">
      <c r="B28" s="673" t="s">
        <v>17</v>
      </c>
      <c r="C28" s="674"/>
      <c r="D28" s="674"/>
      <c r="E28" s="674"/>
      <c r="F28" s="674"/>
      <c r="G28" s="675"/>
    </row>
    <row r="29" spans="2:7" ht="22.5">
      <c r="B29" s="395" t="s">
        <v>656</v>
      </c>
      <c r="C29" s="392"/>
      <c r="D29" s="393"/>
      <c r="E29" s="381"/>
      <c r="F29" s="394"/>
      <c r="G29" s="384"/>
    </row>
    <row r="30" spans="2:7" ht="22.5">
      <c r="B30" s="395"/>
      <c r="C30" s="392"/>
      <c r="D30" s="393"/>
      <c r="E30" s="381"/>
      <c r="F30" s="394"/>
      <c r="G30" s="384"/>
    </row>
    <row r="31" spans="2:7" ht="22.5">
      <c r="B31" s="395" t="s">
        <v>320</v>
      </c>
      <c r="C31" s="393"/>
      <c r="D31" s="393"/>
      <c r="E31" s="381"/>
      <c r="F31" s="393"/>
      <c r="G31" s="377"/>
    </row>
    <row r="32" spans="2:7" ht="22.5">
      <c r="B32" s="395"/>
      <c r="C32" s="393"/>
      <c r="D32" s="393"/>
      <c r="E32" s="381"/>
      <c r="F32" s="393"/>
      <c r="G32" s="377"/>
    </row>
    <row r="33" spans="2:7" ht="22.5">
      <c r="B33" s="395"/>
      <c r="C33" s="393"/>
      <c r="D33" s="393"/>
      <c r="E33" s="381"/>
      <c r="F33" s="393"/>
      <c r="G33" s="377"/>
    </row>
    <row r="34" spans="2:7" ht="22.5">
      <c r="B34" s="386"/>
      <c r="C34" s="399"/>
      <c r="D34" s="399"/>
      <c r="E34" s="399"/>
      <c r="F34" s="399"/>
      <c r="G34" s="400"/>
    </row>
    <row r="36" spans="2:7" ht="22.5">
      <c r="B36" s="668" t="s">
        <v>18</v>
      </c>
      <c r="C36" s="668"/>
      <c r="D36" s="668"/>
      <c r="E36" s="668"/>
      <c r="F36" s="668"/>
      <c r="G36" s="668"/>
    </row>
    <row r="37" spans="2:7" ht="22.5">
      <c r="B37" s="668" t="s">
        <v>19</v>
      </c>
      <c r="C37" s="668"/>
      <c r="D37" s="668"/>
      <c r="E37" s="668"/>
      <c r="F37" s="668"/>
      <c r="G37" s="668"/>
    </row>
    <row r="38" spans="2:7" ht="22.5">
      <c r="B38" s="669" t="s">
        <v>322</v>
      </c>
      <c r="C38" s="669"/>
      <c r="D38" s="669"/>
      <c r="E38" s="669"/>
      <c r="F38" s="669"/>
      <c r="G38" s="669"/>
    </row>
    <row r="39" spans="2:7" ht="22.5">
      <c r="B39" s="369" t="s">
        <v>314</v>
      </c>
      <c r="C39" s="369"/>
      <c r="D39" s="369"/>
      <c r="E39" s="369"/>
      <c r="F39" s="369"/>
      <c r="G39" s="369"/>
    </row>
    <row r="40" spans="2:7" ht="22.5">
      <c r="B40" s="370" t="s">
        <v>36</v>
      </c>
      <c r="C40" s="371" t="s">
        <v>35</v>
      </c>
      <c r="D40" s="670" t="s">
        <v>315</v>
      </c>
      <c r="E40" s="671"/>
      <c r="F40" s="672" t="s">
        <v>38</v>
      </c>
      <c r="G40" s="671"/>
    </row>
    <row r="41" spans="2:7" ht="22.5">
      <c r="B41" s="376" t="s">
        <v>15</v>
      </c>
      <c r="C41" s="373"/>
      <c r="D41" s="402">
        <v>2478648</v>
      </c>
      <c r="E41" s="408">
        <v>79</v>
      </c>
      <c r="F41" s="376"/>
      <c r="G41" s="377"/>
    </row>
    <row r="42" spans="2:7" ht="22.5">
      <c r="B42" s="372" t="s">
        <v>16</v>
      </c>
      <c r="C42" s="379"/>
      <c r="D42" s="380"/>
      <c r="E42" s="381"/>
      <c r="F42" s="380">
        <f>D41</f>
        <v>2478648</v>
      </c>
      <c r="G42" s="409">
        <f>E41</f>
        <v>79</v>
      </c>
    </row>
    <row r="43" spans="2:7" ht="22.5">
      <c r="B43" s="372"/>
      <c r="C43" s="379"/>
      <c r="D43" s="380"/>
      <c r="E43" s="381"/>
      <c r="F43" s="383"/>
      <c r="G43" s="384"/>
    </row>
    <row r="44" spans="2:7" ht="22.5">
      <c r="B44" s="372"/>
      <c r="C44" s="379"/>
      <c r="D44" s="383"/>
      <c r="E44" s="381"/>
      <c r="F44" s="383"/>
      <c r="G44" s="384"/>
    </row>
    <row r="45" spans="2:7" ht="22.5">
      <c r="B45" s="372"/>
      <c r="C45" s="379"/>
      <c r="D45" s="383"/>
      <c r="E45" s="381"/>
      <c r="F45" s="383"/>
      <c r="G45" s="384"/>
    </row>
    <row r="46" spans="2:7" ht="22.5">
      <c r="B46" s="372"/>
      <c r="C46" s="379"/>
      <c r="D46" s="383"/>
      <c r="E46" s="381"/>
      <c r="F46" s="383"/>
      <c r="G46" s="384"/>
    </row>
    <row r="47" spans="2:7" ht="22.5">
      <c r="B47" s="372"/>
      <c r="C47" s="379"/>
      <c r="D47" s="380"/>
      <c r="E47" s="381"/>
      <c r="F47" s="383"/>
      <c r="G47" s="384"/>
    </row>
    <row r="48" spans="2:7" ht="22.5">
      <c r="B48" s="372"/>
      <c r="C48" s="379"/>
      <c r="D48" s="380"/>
      <c r="E48" s="381"/>
      <c r="F48" s="383"/>
      <c r="G48" s="384"/>
    </row>
    <row r="49" spans="2:7" ht="22.5">
      <c r="B49" s="372"/>
      <c r="C49" s="379"/>
      <c r="D49" s="380"/>
      <c r="E49" s="381"/>
      <c r="F49" s="380"/>
      <c r="G49" s="384"/>
    </row>
    <row r="50" spans="2:7" ht="22.5">
      <c r="B50" s="372"/>
      <c r="C50" s="379"/>
      <c r="D50" s="380"/>
      <c r="E50" s="381"/>
      <c r="F50" s="380"/>
      <c r="G50" s="384"/>
    </row>
    <row r="51" spans="2:7" ht="22.5">
      <c r="B51" s="372"/>
      <c r="C51" s="379"/>
      <c r="D51" s="380"/>
      <c r="E51" s="381"/>
      <c r="F51" s="380"/>
      <c r="G51" s="384"/>
    </row>
    <row r="52" spans="2:7" ht="22.5">
      <c r="B52" s="372"/>
      <c r="C52" s="379"/>
      <c r="D52" s="372"/>
      <c r="E52" s="381"/>
      <c r="F52" s="380"/>
      <c r="G52" s="384"/>
    </row>
    <row r="53" spans="2:7" ht="22.5">
      <c r="B53" s="372"/>
      <c r="C53" s="379"/>
      <c r="D53" s="372"/>
      <c r="E53" s="381"/>
      <c r="F53" s="380"/>
      <c r="G53" s="384"/>
    </row>
    <row r="54" spans="2:7" ht="22.5">
      <c r="B54" s="386"/>
      <c r="C54" s="387"/>
      <c r="D54" s="388"/>
      <c r="E54" s="389"/>
      <c r="F54" s="390"/>
      <c r="G54" s="389"/>
    </row>
    <row r="55" spans="2:7" ht="22.5">
      <c r="B55" s="391" t="s">
        <v>323</v>
      </c>
      <c r="C55" s="392"/>
      <c r="D55" s="393"/>
      <c r="E55" s="381"/>
      <c r="F55" s="394"/>
      <c r="G55" s="384"/>
    </row>
    <row r="56" spans="2:7" ht="22.5">
      <c r="B56" s="673" t="s">
        <v>17</v>
      </c>
      <c r="C56" s="674"/>
      <c r="D56" s="674"/>
      <c r="E56" s="674"/>
      <c r="F56" s="674"/>
      <c r="G56" s="675"/>
    </row>
    <row r="57" spans="2:7" ht="22.5">
      <c r="B57" s="395" t="s">
        <v>20</v>
      </c>
      <c r="C57" s="392"/>
      <c r="D57" s="393"/>
      <c r="E57" s="381"/>
      <c r="F57" s="394"/>
      <c r="G57" s="384"/>
    </row>
    <row r="58" spans="2:7" ht="22.5">
      <c r="B58" s="395"/>
      <c r="C58" s="392"/>
      <c r="D58" s="393"/>
      <c r="E58" s="381"/>
      <c r="F58" s="394"/>
      <c r="G58" s="384"/>
    </row>
    <row r="59" spans="2:7" ht="22.5">
      <c r="B59" s="395" t="s">
        <v>320</v>
      </c>
      <c r="C59" s="393"/>
      <c r="D59" s="393"/>
      <c r="E59" s="381"/>
      <c r="F59" s="393"/>
      <c r="G59" s="377"/>
    </row>
    <row r="60" spans="2:7" ht="22.5">
      <c r="B60" s="395"/>
      <c r="C60" s="393"/>
      <c r="D60" s="393"/>
      <c r="E60" s="381"/>
      <c r="F60" s="393"/>
      <c r="G60" s="377"/>
    </row>
    <row r="61" spans="2:7" ht="22.5">
      <c r="B61" s="386"/>
      <c r="C61" s="399"/>
      <c r="D61" s="399"/>
      <c r="E61" s="399"/>
      <c r="F61" s="399"/>
      <c r="G61" s="400"/>
    </row>
    <row r="73" spans="2:7" ht="22.5">
      <c r="B73" s="668" t="s">
        <v>2</v>
      </c>
      <c r="C73" s="668"/>
      <c r="D73" s="668"/>
      <c r="E73" s="668"/>
      <c r="F73" s="668"/>
      <c r="G73" s="668"/>
    </row>
    <row r="74" spans="2:7" ht="22.5">
      <c r="B74" s="668" t="s">
        <v>21</v>
      </c>
      <c r="C74" s="668"/>
      <c r="D74" s="668"/>
      <c r="E74" s="668"/>
      <c r="F74" s="668"/>
      <c r="G74" s="668"/>
    </row>
    <row r="75" spans="2:7" ht="22.5">
      <c r="B75" s="669" t="s">
        <v>322</v>
      </c>
      <c r="C75" s="669"/>
      <c r="D75" s="669"/>
      <c r="E75" s="669"/>
      <c r="F75" s="669"/>
      <c r="G75" s="669"/>
    </row>
    <row r="76" spans="2:7" ht="22.5">
      <c r="B76" s="369" t="s">
        <v>314</v>
      </c>
      <c r="C76" s="369"/>
      <c r="D76" s="369"/>
      <c r="E76" s="369"/>
      <c r="F76" s="369"/>
      <c r="G76" s="369"/>
    </row>
    <row r="77" spans="2:7" ht="22.5">
      <c r="B77" s="370" t="s">
        <v>36</v>
      </c>
      <c r="C77" s="371" t="s">
        <v>35</v>
      </c>
      <c r="D77" s="670" t="s">
        <v>315</v>
      </c>
      <c r="E77" s="671"/>
      <c r="F77" s="672" t="s">
        <v>38</v>
      </c>
      <c r="G77" s="671"/>
    </row>
    <row r="78" spans="2:7" ht="22.5">
      <c r="B78" s="376" t="s">
        <v>15</v>
      </c>
      <c r="C78" s="373"/>
      <c r="D78" s="402">
        <v>2288710</v>
      </c>
      <c r="E78" s="408">
        <v>77</v>
      </c>
      <c r="F78" s="376"/>
      <c r="G78" s="377"/>
    </row>
    <row r="79" spans="2:7" ht="22.5">
      <c r="B79" s="372" t="s">
        <v>16</v>
      </c>
      <c r="C79" s="379"/>
      <c r="D79" s="380"/>
      <c r="E79" s="381"/>
      <c r="F79" s="380">
        <f>D78</f>
        <v>2288710</v>
      </c>
      <c r="G79" s="409">
        <f>E78</f>
        <v>77</v>
      </c>
    </row>
    <row r="80" spans="2:7" ht="22.5">
      <c r="B80" s="372"/>
      <c r="C80" s="379"/>
      <c r="D80" s="380"/>
      <c r="E80" s="381"/>
      <c r="F80" s="383"/>
      <c r="G80" s="384"/>
    </row>
    <row r="81" spans="2:7" ht="22.5">
      <c r="B81" s="372"/>
      <c r="C81" s="379"/>
      <c r="D81" s="383"/>
      <c r="E81" s="381"/>
      <c r="F81" s="383"/>
      <c r="G81" s="384"/>
    </row>
    <row r="82" spans="2:7" ht="22.5">
      <c r="B82" s="372"/>
      <c r="C82" s="379"/>
      <c r="D82" s="383"/>
      <c r="E82" s="381"/>
      <c r="F82" s="383"/>
      <c r="G82" s="384"/>
    </row>
    <row r="83" spans="2:7" ht="22.5">
      <c r="B83" s="372"/>
      <c r="C83" s="379"/>
      <c r="D83" s="383"/>
      <c r="E83" s="381"/>
      <c r="F83" s="383"/>
      <c r="G83" s="384"/>
    </row>
    <row r="84" spans="2:7" ht="22.5">
      <c r="B84" s="372"/>
      <c r="C84" s="379"/>
      <c r="D84" s="380"/>
      <c r="E84" s="381"/>
      <c r="F84" s="380"/>
      <c r="G84" s="384"/>
    </row>
    <row r="85" spans="2:7" ht="22.5">
      <c r="B85" s="372"/>
      <c r="C85" s="379"/>
      <c r="D85" s="380"/>
      <c r="E85" s="381"/>
      <c r="F85" s="380"/>
      <c r="G85" s="384"/>
    </row>
    <row r="86" spans="2:7" ht="22.5">
      <c r="B86" s="372"/>
      <c r="C86" s="379"/>
      <c r="D86" s="380"/>
      <c r="E86" s="381"/>
      <c r="F86" s="380"/>
      <c r="G86" s="384"/>
    </row>
    <row r="87" spans="2:7" ht="22.5">
      <c r="B87" s="372"/>
      <c r="C87" s="379"/>
      <c r="D87" s="372"/>
      <c r="E87" s="381"/>
      <c r="F87" s="380"/>
      <c r="G87" s="384"/>
    </row>
    <row r="88" spans="2:7" ht="22.5">
      <c r="B88" s="372"/>
      <c r="C88" s="379"/>
      <c r="D88" s="372"/>
      <c r="E88" s="381"/>
      <c r="F88" s="380"/>
      <c r="G88" s="384"/>
    </row>
    <row r="89" spans="2:7" ht="22.5">
      <c r="B89" s="386"/>
      <c r="C89" s="387"/>
      <c r="D89" s="388"/>
      <c r="E89" s="389"/>
      <c r="F89" s="390"/>
      <c r="G89" s="389"/>
    </row>
    <row r="90" spans="2:7" ht="22.5">
      <c r="B90" s="391" t="s">
        <v>323</v>
      </c>
      <c r="C90" s="392"/>
      <c r="D90" s="393"/>
      <c r="E90" s="381"/>
      <c r="F90" s="394"/>
      <c r="G90" s="384"/>
    </row>
    <row r="91" spans="2:7" ht="22.5">
      <c r="B91" s="673" t="s">
        <v>17</v>
      </c>
      <c r="C91" s="674"/>
      <c r="D91" s="674"/>
      <c r="E91" s="674"/>
      <c r="F91" s="674"/>
      <c r="G91" s="675"/>
    </row>
    <row r="92" spans="2:7" ht="22.5">
      <c r="B92" s="395" t="s">
        <v>22</v>
      </c>
      <c r="C92" s="392"/>
      <c r="D92" s="393"/>
      <c r="E92" s="381"/>
      <c r="F92" s="394"/>
      <c r="G92" s="384"/>
    </row>
    <row r="93" spans="2:7" ht="22.5">
      <c r="B93" s="395"/>
      <c r="C93" s="392"/>
      <c r="D93" s="393"/>
      <c r="E93" s="381"/>
      <c r="F93" s="394"/>
      <c r="G93" s="384"/>
    </row>
    <row r="94" spans="2:7" ht="22.5">
      <c r="B94" s="395"/>
      <c r="C94" s="392"/>
      <c r="D94" s="393"/>
      <c r="E94" s="381"/>
      <c r="F94" s="394"/>
      <c r="G94" s="384"/>
    </row>
    <row r="95" spans="2:7" ht="22.5">
      <c r="B95" s="395"/>
      <c r="C95" s="392"/>
      <c r="D95" s="393"/>
      <c r="E95" s="381"/>
      <c r="F95" s="394"/>
      <c r="G95" s="384"/>
    </row>
    <row r="96" spans="2:7" ht="22.5">
      <c r="B96" s="395" t="s">
        <v>320</v>
      </c>
      <c r="C96" s="393"/>
      <c r="D96" s="393"/>
      <c r="E96" s="381"/>
      <c r="F96" s="393"/>
      <c r="G96" s="377"/>
    </row>
    <row r="97" spans="2:7" ht="22.5">
      <c r="B97" s="395"/>
      <c r="C97" s="393"/>
      <c r="D97" s="393"/>
      <c r="E97" s="381"/>
      <c r="F97" s="393"/>
      <c r="G97" s="377"/>
    </row>
    <row r="98" spans="2:7" ht="22.5">
      <c r="B98" s="395"/>
      <c r="C98" s="393"/>
      <c r="D98" s="393"/>
      <c r="E98" s="381"/>
      <c r="F98" s="393"/>
      <c r="G98" s="377"/>
    </row>
    <row r="99" spans="2:7" ht="22.5">
      <c r="B99" s="395"/>
      <c r="C99" s="393"/>
      <c r="D99" s="393"/>
      <c r="E99" s="381"/>
      <c r="F99" s="393"/>
      <c r="G99" s="377"/>
    </row>
    <row r="100" spans="2:7" ht="22.5">
      <c r="B100" s="395"/>
      <c r="C100" s="393"/>
      <c r="D100" s="393"/>
      <c r="E100" s="381"/>
      <c r="F100" s="393"/>
      <c r="G100" s="377"/>
    </row>
    <row r="101" spans="2:7" ht="22.5">
      <c r="B101" s="395"/>
      <c r="C101" s="393"/>
      <c r="D101" s="393"/>
      <c r="E101" s="381"/>
      <c r="F101" s="393"/>
      <c r="G101" s="377"/>
    </row>
    <row r="102" spans="2:7" ht="22.5">
      <c r="B102" s="386"/>
      <c r="C102" s="399"/>
      <c r="D102" s="399"/>
      <c r="E102" s="399"/>
      <c r="F102" s="399"/>
      <c r="G102" s="400"/>
    </row>
    <row r="107" spans="2:7" ht="22.5">
      <c r="B107" s="668" t="s">
        <v>18</v>
      </c>
      <c r="C107" s="668"/>
      <c r="D107" s="668"/>
      <c r="E107" s="668"/>
      <c r="F107" s="668"/>
      <c r="G107" s="668"/>
    </row>
    <row r="108" spans="2:7" ht="22.5">
      <c r="B108" s="668" t="s">
        <v>23</v>
      </c>
      <c r="C108" s="668"/>
      <c r="D108" s="668"/>
      <c r="E108" s="668"/>
      <c r="F108" s="668"/>
      <c r="G108" s="668"/>
    </row>
    <row r="109" spans="2:7" ht="22.5">
      <c r="B109" s="669" t="s">
        <v>322</v>
      </c>
      <c r="C109" s="669"/>
      <c r="D109" s="669"/>
      <c r="E109" s="669"/>
      <c r="F109" s="669"/>
      <c r="G109" s="669"/>
    </row>
    <row r="110" spans="2:7" ht="22.5">
      <c r="B110" s="369" t="s">
        <v>314</v>
      </c>
      <c r="C110" s="369"/>
      <c r="D110" s="369"/>
      <c r="E110" s="369"/>
      <c r="F110" s="369"/>
      <c r="G110" s="369"/>
    </row>
    <row r="111" spans="2:7" ht="22.5">
      <c r="B111" s="370" t="s">
        <v>36</v>
      </c>
      <c r="C111" s="371" t="s">
        <v>35</v>
      </c>
      <c r="D111" s="670" t="s">
        <v>315</v>
      </c>
      <c r="E111" s="671"/>
      <c r="F111" s="672" t="s">
        <v>38</v>
      </c>
      <c r="G111" s="671"/>
    </row>
    <row r="112" spans="2:7" ht="22.5">
      <c r="B112" s="376" t="s">
        <v>15</v>
      </c>
      <c r="C112" s="373"/>
      <c r="D112" s="402">
        <v>3113833.38</v>
      </c>
      <c r="E112" s="408">
        <v>94</v>
      </c>
      <c r="F112" s="376"/>
      <c r="G112" s="377"/>
    </row>
    <row r="113" spans="2:7" ht="22.5">
      <c r="B113" s="372" t="s">
        <v>16</v>
      </c>
      <c r="C113" s="379"/>
      <c r="D113" s="380"/>
      <c r="E113" s="381"/>
      <c r="F113" s="380">
        <f>D112</f>
        <v>3113833.38</v>
      </c>
      <c r="G113" s="409">
        <f>E112</f>
        <v>94</v>
      </c>
    </row>
    <row r="114" spans="2:7" ht="22.5">
      <c r="B114" s="372"/>
      <c r="C114" s="379"/>
      <c r="D114" s="380"/>
      <c r="E114" s="381"/>
      <c r="F114" s="383"/>
      <c r="G114" s="384"/>
    </row>
    <row r="115" spans="2:7" ht="22.5">
      <c r="B115" s="372"/>
      <c r="C115" s="379"/>
      <c r="D115" s="383"/>
      <c r="E115" s="381"/>
      <c r="F115" s="383"/>
      <c r="G115" s="384"/>
    </row>
    <row r="116" spans="2:7" ht="22.5">
      <c r="B116" s="372"/>
      <c r="C116" s="379"/>
      <c r="D116" s="383"/>
      <c r="E116" s="381"/>
      <c r="F116" s="383"/>
      <c r="G116" s="384"/>
    </row>
    <row r="117" spans="2:7" ht="22.5">
      <c r="B117" s="372"/>
      <c r="C117" s="379"/>
      <c r="D117" s="383"/>
      <c r="E117" s="381"/>
      <c r="F117" s="383"/>
      <c r="G117" s="384"/>
    </row>
    <row r="118" spans="2:7" ht="22.5">
      <c r="B118" s="372"/>
      <c r="C118" s="379"/>
      <c r="D118" s="380"/>
      <c r="E118" s="381"/>
      <c r="F118" s="383"/>
      <c r="G118" s="384"/>
    </row>
    <row r="119" spans="2:7" ht="22.5">
      <c r="B119" s="372"/>
      <c r="C119" s="379"/>
      <c r="D119" s="380"/>
      <c r="E119" s="381"/>
      <c r="F119" s="383"/>
      <c r="G119" s="384"/>
    </row>
    <row r="120" spans="2:7" ht="22.5">
      <c r="B120" s="372"/>
      <c r="C120" s="379"/>
      <c r="D120" s="380"/>
      <c r="E120" s="381"/>
      <c r="F120" s="380"/>
      <c r="G120" s="384"/>
    </row>
    <row r="121" spans="2:7" ht="22.5">
      <c r="B121" s="372"/>
      <c r="C121" s="379"/>
      <c r="D121" s="380"/>
      <c r="E121" s="381"/>
      <c r="F121" s="380"/>
      <c r="G121" s="384"/>
    </row>
    <row r="122" spans="2:7" ht="22.5">
      <c r="B122" s="372"/>
      <c r="C122" s="379"/>
      <c r="D122" s="380"/>
      <c r="E122" s="381"/>
      <c r="F122" s="380"/>
      <c r="G122" s="384"/>
    </row>
    <row r="123" spans="2:7" ht="22.5">
      <c r="B123" s="372"/>
      <c r="C123" s="379"/>
      <c r="D123" s="372"/>
      <c r="E123" s="381"/>
      <c r="F123" s="380"/>
      <c r="G123" s="384"/>
    </row>
    <row r="124" spans="2:7" ht="22.5">
      <c r="B124" s="372"/>
      <c r="C124" s="379"/>
      <c r="D124" s="372"/>
      <c r="E124" s="381"/>
      <c r="F124" s="380"/>
      <c r="G124" s="384"/>
    </row>
    <row r="125" spans="2:7" ht="22.5">
      <c r="B125" s="386"/>
      <c r="C125" s="387"/>
      <c r="D125" s="388"/>
      <c r="E125" s="389"/>
      <c r="F125" s="390"/>
      <c r="G125" s="389"/>
    </row>
    <row r="126" spans="2:7" ht="22.5">
      <c r="B126" s="391" t="s">
        <v>323</v>
      </c>
      <c r="C126" s="392"/>
      <c r="D126" s="393"/>
      <c r="E126" s="381"/>
      <c r="F126" s="394"/>
      <c r="G126" s="384"/>
    </row>
    <row r="127" spans="2:7" ht="22.5">
      <c r="B127" s="673" t="s">
        <v>17</v>
      </c>
      <c r="C127" s="674"/>
      <c r="D127" s="674"/>
      <c r="E127" s="674"/>
      <c r="F127" s="674"/>
      <c r="G127" s="675"/>
    </row>
    <row r="128" spans="2:7" ht="22.5">
      <c r="B128" s="395" t="s">
        <v>24</v>
      </c>
      <c r="C128" s="392"/>
      <c r="D128" s="393"/>
      <c r="E128" s="381"/>
      <c r="F128" s="394"/>
      <c r="G128" s="384"/>
    </row>
    <row r="129" spans="2:7" ht="22.5">
      <c r="B129" s="395"/>
      <c r="C129" s="392"/>
      <c r="D129" s="393"/>
      <c r="E129" s="381"/>
      <c r="F129" s="394"/>
      <c r="G129" s="384"/>
    </row>
    <row r="130" spans="2:7" ht="22.5">
      <c r="B130" s="395"/>
      <c r="C130" s="392"/>
      <c r="D130" s="393"/>
      <c r="E130" s="381"/>
      <c r="F130" s="394"/>
      <c r="G130" s="384"/>
    </row>
    <row r="131" spans="2:7" ht="22.5">
      <c r="B131" s="395"/>
      <c r="C131" s="392"/>
      <c r="D131" s="393"/>
      <c r="E131" s="381"/>
      <c r="F131" s="394"/>
      <c r="G131" s="384"/>
    </row>
    <row r="132" spans="2:7" ht="22.5">
      <c r="B132" s="395" t="s">
        <v>320</v>
      </c>
      <c r="C132" s="393"/>
      <c r="D132" s="393"/>
      <c r="E132" s="381"/>
      <c r="F132" s="393"/>
      <c r="G132" s="377"/>
    </row>
    <row r="133" spans="2:7" ht="22.5">
      <c r="B133" s="395"/>
      <c r="C133" s="393"/>
      <c r="D133" s="393"/>
      <c r="E133" s="381"/>
      <c r="F133" s="393"/>
      <c r="G133" s="377"/>
    </row>
    <row r="134" spans="2:7" ht="22.5">
      <c r="B134" s="395"/>
      <c r="C134" s="393"/>
      <c r="D134" s="393"/>
      <c r="E134" s="381"/>
      <c r="F134" s="393"/>
      <c r="G134" s="377"/>
    </row>
    <row r="135" spans="2:7" ht="22.5">
      <c r="B135" s="395"/>
      <c r="C135" s="393"/>
      <c r="D135" s="393"/>
      <c r="E135" s="381"/>
      <c r="F135" s="393"/>
      <c r="G135" s="377"/>
    </row>
    <row r="136" spans="2:7" ht="22.5">
      <c r="B136" s="395"/>
      <c r="C136" s="393"/>
      <c r="D136" s="393"/>
      <c r="E136" s="381"/>
      <c r="F136" s="393"/>
      <c r="G136" s="377"/>
    </row>
    <row r="137" spans="2:7" ht="22.5">
      <c r="B137" s="395"/>
      <c r="C137" s="393"/>
      <c r="D137" s="393"/>
      <c r="E137" s="381"/>
      <c r="F137" s="393"/>
      <c r="G137" s="377"/>
    </row>
    <row r="138" spans="2:7" ht="22.5">
      <c r="B138" s="386"/>
      <c r="C138" s="399"/>
      <c r="D138" s="399"/>
      <c r="E138" s="399"/>
      <c r="F138" s="399"/>
      <c r="G138" s="400"/>
    </row>
    <row r="141" spans="2:7" ht="22.5">
      <c r="B141" s="668" t="s">
        <v>7</v>
      </c>
      <c r="C141" s="668"/>
      <c r="D141" s="668"/>
      <c r="E141" s="668"/>
      <c r="F141" s="668"/>
      <c r="G141" s="668"/>
    </row>
    <row r="142" spans="2:7" ht="22.5">
      <c r="B142" s="668" t="s">
        <v>25</v>
      </c>
      <c r="C142" s="668"/>
      <c r="D142" s="668"/>
      <c r="E142" s="668"/>
      <c r="F142" s="668"/>
      <c r="G142" s="668"/>
    </row>
    <row r="143" spans="2:7" ht="22.5">
      <c r="B143" s="669" t="s">
        <v>322</v>
      </c>
      <c r="C143" s="669"/>
      <c r="D143" s="669"/>
      <c r="E143" s="669"/>
      <c r="F143" s="669"/>
      <c r="G143" s="669"/>
    </row>
    <row r="144" spans="2:7" ht="22.5">
      <c r="B144" s="369" t="s">
        <v>314</v>
      </c>
      <c r="C144" s="369"/>
      <c r="D144" s="369"/>
      <c r="E144" s="369"/>
      <c r="F144" s="369"/>
      <c r="G144" s="369"/>
    </row>
    <row r="145" spans="2:7" ht="22.5">
      <c r="B145" s="370" t="s">
        <v>36</v>
      </c>
      <c r="C145" s="371" t="s">
        <v>35</v>
      </c>
      <c r="D145" s="670" t="s">
        <v>315</v>
      </c>
      <c r="E145" s="671"/>
      <c r="F145" s="672" t="s">
        <v>38</v>
      </c>
      <c r="G145" s="671"/>
    </row>
    <row r="146" spans="2:7" ht="22.5">
      <c r="B146" s="376" t="s">
        <v>15</v>
      </c>
      <c r="C146" s="373"/>
      <c r="D146" s="402">
        <v>4507345</v>
      </c>
      <c r="E146" s="408">
        <v>94</v>
      </c>
      <c r="F146" s="376"/>
      <c r="G146" s="377"/>
    </row>
    <row r="147" spans="2:7" ht="22.5">
      <c r="B147" s="372" t="s">
        <v>16</v>
      </c>
      <c r="C147" s="379"/>
      <c r="D147" s="380"/>
      <c r="E147" s="381"/>
      <c r="F147" s="380">
        <f>D146</f>
        <v>4507345</v>
      </c>
      <c r="G147" s="409">
        <f>E146</f>
        <v>94</v>
      </c>
    </row>
    <row r="148" spans="2:7" ht="22.5">
      <c r="B148" s="372"/>
      <c r="C148" s="379"/>
      <c r="D148" s="380"/>
      <c r="E148" s="381"/>
      <c r="F148" s="383"/>
      <c r="G148" s="384"/>
    </row>
    <row r="149" spans="2:7" ht="22.5">
      <c r="B149" s="372"/>
      <c r="C149" s="379"/>
      <c r="D149" s="383"/>
      <c r="E149" s="381"/>
      <c r="F149" s="383"/>
      <c r="G149" s="384"/>
    </row>
    <row r="150" spans="2:7" ht="22.5">
      <c r="B150" s="372"/>
      <c r="C150" s="379"/>
      <c r="D150" s="383"/>
      <c r="E150" s="381"/>
      <c r="F150" s="383"/>
      <c r="G150" s="384"/>
    </row>
    <row r="151" spans="2:7" ht="22.5">
      <c r="B151" s="372"/>
      <c r="C151" s="379"/>
      <c r="D151" s="383"/>
      <c r="E151" s="381"/>
      <c r="F151" s="383"/>
      <c r="G151" s="384"/>
    </row>
    <row r="152" spans="2:7" ht="22.5">
      <c r="B152" s="372"/>
      <c r="C152" s="379"/>
      <c r="D152" s="380"/>
      <c r="E152" s="381"/>
      <c r="F152" s="383"/>
      <c r="G152" s="384"/>
    </row>
    <row r="153" spans="2:7" ht="22.5">
      <c r="B153" s="372"/>
      <c r="C153" s="379"/>
      <c r="D153" s="380"/>
      <c r="E153" s="381"/>
      <c r="F153" s="383"/>
      <c r="G153" s="384"/>
    </row>
    <row r="154" spans="2:7" ht="22.5">
      <c r="B154" s="372"/>
      <c r="C154" s="379"/>
      <c r="D154" s="380"/>
      <c r="E154" s="381"/>
      <c r="F154" s="380"/>
      <c r="G154" s="384"/>
    </row>
    <row r="155" spans="2:7" ht="22.5">
      <c r="B155" s="372"/>
      <c r="C155" s="379"/>
      <c r="D155" s="380"/>
      <c r="E155" s="381"/>
      <c r="F155" s="380"/>
      <c r="G155" s="384"/>
    </row>
    <row r="156" spans="2:7" ht="22.5">
      <c r="B156" s="372"/>
      <c r="C156" s="379"/>
      <c r="D156" s="380"/>
      <c r="E156" s="381"/>
      <c r="F156" s="380"/>
      <c r="G156" s="384"/>
    </row>
    <row r="157" spans="2:7" ht="22.5">
      <c r="B157" s="372"/>
      <c r="C157" s="379"/>
      <c r="D157" s="372"/>
      <c r="E157" s="381"/>
      <c r="F157" s="380"/>
      <c r="G157" s="384"/>
    </row>
    <row r="158" spans="2:7" ht="22.5">
      <c r="B158" s="372"/>
      <c r="C158" s="379"/>
      <c r="D158" s="372"/>
      <c r="E158" s="381"/>
      <c r="F158" s="380"/>
      <c r="G158" s="384"/>
    </row>
    <row r="159" spans="2:7" ht="22.5">
      <c r="B159" s="386"/>
      <c r="C159" s="387"/>
      <c r="D159" s="388"/>
      <c r="E159" s="389"/>
      <c r="F159" s="390"/>
      <c r="G159" s="389"/>
    </row>
    <row r="160" spans="2:7" ht="22.5">
      <c r="B160" s="391" t="s">
        <v>323</v>
      </c>
      <c r="C160" s="392"/>
      <c r="D160" s="393"/>
      <c r="E160" s="381"/>
      <c r="F160" s="394"/>
      <c r="G160" s="384"/>
    </row>
    <row r="161" spans="2:7" ht="22.5">
      <c r="B161" s="673" t="s">
        <v>17</v>
      </c>
      <c r="C161" s="674"/>
      <c r="D161" s="674"/>
      <c r="E161" s="674"/>
      <c r="F161" s="674"/>
      <c r="G161" s="675"/>
    </row>
    <row r="162" spans="2:7" ht="22.5">
      <c r="B162" s="395" t="s">
        <v>336</v>
      </c>
      <c r="C162" s="392"/>
      <c r="D162" s="393"/>
      <c r="E162" s="381"/>
      <c r="F162" s="394"/>
      <c r="G162" s="384"/>
    </row>
    <row r="163" spans="2:7" ht="22.5">
      <c r="B163" s="395"/>
      <c r="C163" s="392"/>
      <c r="D163" s="393"/>
      <c r="E163" s="381"/>
      <c r="F163" s="394"/>
      <c r="G163" s="384"/>
    </row>
    <row r="164" spans="2:7" ht="22.5">
      <c r="B164" s="395"/>
      <c r="C164" s="392"/>
      <c r="D164" s="393"/>
      <c r="E164" s="381"/>
      <c r="F164" s="394"/>
      <c r="G164" s="384"/>
    </row>
    <row r="165" spans="2:7" ht="22.5">
      <c r="B165" s="395"/>
      <c r="C165" s="392"/>
      <c r="D165" s="393"/>
      <c r="E165" s="381"/>
      <c r="F165" s="394"/>
      <c r="G165" s="384"/>
    </row>
    <row r="166" spans="2:7" ht="22.5">
      <c r="B166" s="395" t="s">
        <v>320</v>
      </c>
      <c r="C166" s="393"/>
      <c r="D166" s="393"/>
      <c r="E166" s="381"/>
      <c r="F166" s="393"/>
      <c r="G166" s="377"/>
    </row>
    <row r="167" spans="2:7" ht="22.5">
      <c r="B167" s="395"/>
      <c r="C167" s="393"/>
      <c r="D167" s="393"/>
      <c r="E167" s="381"/>
      <c r="F167" s="393"/>
      <c r="G167" s="377"/>
    </row>
    <row r="168" spans="2:7" ht="22.5">
      <c r="B168" s="395"/>
      <c r="C168" s="393"/>
      <c r="D168" s="393"/>
      <c r="E168" s="381"/>
      <c r="F168" s="393"/>
      <c r="G168" s="377"/>
    </row>
    <row r="169" spans="2:7" ht="22.5">
      <c r="B169" s="395"/>
      <c r="C169" s="393"/>
      <c r="D169" s="393"/>
      <c r="E169" s="381"/>
      <c r="F169" s="393"/>
      <c r="G169" s="377"/>
    </row>
    <row r="170" spans="2:7" ht="22.5">
      <c r="B170" s="395"/>
      <c r="C170" s="393"/>
      <c r="D170" s="393"/>
      <c r="E170" s="381"/>
      <c r="F170" s="393"/>
      <c r="G170" s="377"/>
    </row>
    <row r="171" spans="2:7" ht="22.5">
      <c r="B171" s="395"/>
      <c r="C171" s="393"/>
      <c r="D171" s="393"/>
      <c r="E171" s="381"/>
      <c r="F171" s="393"/>
      <c r="G171" s="377"/>
    </row>
    <row r="172" spans="2:7" ht="22.5">
      <c r="B172" s="386"/>
      <c r="C172" s="399"/>
      <c r="D172" s="399"/>
      <c r="E172" s="399"/>
      <c r="F172" s="399"/>
      <c r="G172" s="400"/>
    </row>
    <row r="177" spans="2:7" ht="22.5">
      <c r="B177" s="668" t="s">
        <v>7</v>
      </c>
      <c r="C177" s="668"/>
      <c r="D177" s="668"/>
      <c r="E177" s="668"/>
      <c r="F177" s="668"/>
      <c r="G177" s="668"/>
    </row>
    <row r="178" spans="2:7" ht="22.5">
      <c r="B178" s="668" t="s">
        <v>26</v>
      </c>
      <c r="C178" s="668"/>
      <c r="D178" s="668"/>
      <c r="E178" s="668"/>
      <c r="F178" s="668"/>
      <c r="G178" s="668"/>
    </row>
    <row r="179" spans="2:7" ht="22.5">
      <c r="B179" s="669" t="s">
        <v>322</v>
      </c>
      <c r="C179" s="669"/>
      <c r="D179" s="669"/>
      <c r="E179" s="669"/>
      <c r="F179" s="669"/>
      <c r="G179" s="669"/>
    </row>
    <row r="180" spans="2:7" ht="22.5">
      <c r="B180" s="369" t="s">
        <v>314</v>
      </c>
      <c r="C180" s="369"/>
      <c r="D180" s="369"/>
      <c r="E180" s="369"/>
      <c r="F180" s="369"/>
      <c r="G180" s="369"/>
    </row>
    <row r="181" spans="2:7" ht="22.5">
      <c r="B181" s="370" t="s">
        <v>36</v>
      </c>
      <c r="C181" s="371" t="s">
        <v>35</v>
      </c>
      <c r="D181" s="670" t="s">
        <v>315</v>
      </c>
      <c r="E181" s="671"/>
      <c r="F181" s="672" t="s">
        <v>38</v>
      </c>
      <c r="G181" s="671"/>
    </row>
    <row r="182" spans="2:7" ht="22.5">
      <c r="B182" s="376" t="s">
        <v>15</v>
      </c>
      <c r="C182" s="373"/>
      <c r="D182" s="402">
        <v>3113833</v>
      </c>
      <c r="E182" s="408">
        <v>38</v>
      </c>
      <c r="F182" s="376"/>
      <c r="G182" s="377"/>
    </row>
    <row r="183" spans="2:7" ht="22.5">
      <c r="B183" s="372" t="s">
        <v>16</v>
      </c>
      <c r="C183" s="379"/>
      <c r="D183" s="380"/>
      <c r="E183" s="381"/>
      <c r="F183" s="380">
        <f>D182</f>
        <v>3113833</v>
      </c>
      <c r="G183" s="409">
        <f>E182</f>
        <v>38</v>
      </c>
    </row>
    <row r="184" spans="2:7" ht="22.5">
      <c r="B184" s="372"/>
      <c r="C184" s="379"/>
      <c r="D184" s="380"/>
      <c r="E184" s="381"/>
      <c r="F184" s="383"/>
      <c r="G184" s="384"/>
    </row>
    <row r="185" spans="2:7" ht="22.5">
      <c r="B185" s="372"/>
      <c r="C185" s="379"/>
      <c r="D185" s="383"/>
      <c r="E185" s="381"/>
      <c r="F185" s="383"/>
      <c r="G185" s="384"/>
    </row>
    <row r="186" spans="2:7" ht="22.5">
      <c r="B186" s="372"/>
      <c r="C186" s="379"/>
      <c r="D186" s="383"/>
      <c r="E186" s="381"/>
      <c r="F186" s="383"/>
      <c r="G186" s="384"/>
    </row>
    <row r="187" spans="2:7" ht="22.5">
      <c r="B187" s="372"/>
      <c r="C187" s="379"/>
      <c r="D187" s="383"/>
      <c r="E187" s="381"/>
      <c r="F187" s="383"/>
      <c r="G187" s="384"/>
    </row>
    <row r="188" spans="2:7" ht="22.5">
      <c r="B188" s="372"/>
      <c r="C188" s="379"/>
      <c r="D188" s="380"/>
      <c r="E188" s="381"/>
      <c r="F188" s="383"/>
      <c r="G188" s="384"/>
    </row>
    <row r="189" spans="2:7" ht="22.5">
      <c r="B189" s="372"/>
      <c r="C189" s="379"/>
      <c r="D189" s="380"/>
      <c r="E189" s="381"/>
      <c r="F189" s="383"/>
      <c r="G189" s="384"/>
    </row>
    <row r="190" spans="2:7" ht="22.5">
      <c r="B190" s="372"/>
      <c r="C190" s="379"/>
      <c r="D190" s="380"/>
      <c r="E190" s="381"/>
      <c r="F190" s="380"/>
      <c r="G190" s="384"/>
    </row>
    <row r="191" spans="2:7" ht="22.5">
      <c r="B191" s="372"/>
      <c r="C191" s="379"/>
      <c r="D191" s="380"/>
      <c r="E191" s="381"/>
      <c r="F191" s="380"/>
      <c r="G191" s="384"/>
    </row>
    <row r="192" spans="2:7" ht="22.5">
      <c r="B192" s="372"/>
      <c r="C192" s="379"/>
      <c r="D192" s="380"/>
      <c r="E192" s="381"/>
      <c r="F192" s="380"/>
      <c r="G192" s="384"/>
    </row>
    <row r="193" spans="2:7" ht="22.5">
      <c r="B193" s="372"/>
      <c r="C193" s="379"/>
      <c r="D193" s="372"/>
      <c r="E193" s="381"/>
      <c r="F193" s="380"/>
      <c r="G193" s="384"/>
    </row>
    <row r="194" spans="2:7" ht="22.5">
      <c r="B194" s="372"/>
      <c r="C194" s="379"/>
      <c r="D194" s="372"/>
      <c r="E194" s="381"/>
      <c r="F194" s="380"/>
      <c r="G194" s="384"/>
    </row>
    <row r="195" spans="2:7" ht="22.5">
      <c r="B195" s="386"/>
      <c r="C195" s="387"/>
      <c r="D195" s="388"/>
      <c r="E195" s="389"/>
      <c r="F195" s="390"/>
      <c r="G195" s="389"/>
    </row>
    <row r="196" spans="2:7" ht="22.5">
      <c r="B196" s="391" t="s">
        <v>323</v>
      </c>
      <c r="C196" s="392"/>
      <c r="D196" s="393"/>
      <c r="E196" s="381"/>
      <c r="F196" s="394"/>
      <c r="G196" s="384"/>
    </row>
    <row r="197" spans="2:7" ht="22.5">
      <c r="B197" s="673" t="s">
        <v>17</v>
      </c>
      <c r="C197" s="674"/>
      <c r="D197" s="674"/>
      <c r="E197" s="674"/>
      <c r="F197" s="674"/>
      <c r="G197" s="675"/>
    </row>
    <row r="198" spans="2:7" ht="22.5">
      <c r="B198" s="395" t="s">
        <v>27</v>
      </c>
      <c r="C198" s="392"/>
      <c r="D198" s="393"/>
      <c r="E198" s="381"/>
      <c r="F198" s="394"/>
      <c r="G198" s="384"/>
    </row>
    <row r="199" spans="2:7" ht="22.5">
      <c r="B199" s="395"/>
      <c r="C199" s="392"/>
      <c r="D199" s="393"/>
      <c r="E199" s="381"/>
      <c r="F199" s="394"/>
      <c r="G199" s="384"/>
    </row>
    <row r="200" spans="2:7" ht="22.5">
      <c r="B200" s="395"/>
      <c r="C200" s="392"/>
      <c r="D200" s="393"/>
      <c r="E200" s="381"/>
      <c r="F200" s="394"/>
      <c r="G200" s="384"/>
    </row>
    <row r="201" spans="2:7" ht="22.5">
      <c r="B201" s="395"/>
      <c r="C201" s="392"/>
      <c r="D201" s="393"/>
      <c r="E201" s="381"/>
      <c r="F201" s="394"/>
      <c r="G201" s="384"/>
    </row>
    <row r="202" spans="2:7" ht="22.5">
      <c r="B202" s="395" t="s">
        <v>320</v>
      </c>
      <c r="C202" s="393"/>
      <c r="D202" s="393"/>
      <c r="E202" s="381"/>
      <c r="F202" s="393"/>
      <c r="G202" s="377"/>
    </row>
    <row r="203" spans="2:7" ht="22.5">
      <c r="B203" s="395"/>
      <c r="C203" s="393"/>
      <c r="D203" s="393"/>
      <c r="E203" s="381"/>
      <c r="F203" s="393"/>
      <c r="G203" s="377"/>
    </row>
    <row r="204" spans="2:7" ht="22.5">
      <c r="B204" s="395"/>
      <c r="C204" s="393"/>
      <c r="D204" s="393"/>
      <c r="E204" s="381"/>
      <c r="F204" s="393"/>
      <c r="G204" s="377"/>
    </row>
    <row r="205" spans="2:7" ht="22.5">
      <c r="B205" s="395"/>
      <c r="C205" s="393"/>
      <c r="D205" s="393"/>
      <c r="E205" s="381"/>
      <c r="F205" s="393"/>
      <c r="G205" s="377"/>
    </row>
    <row r="206" spans="2:7" ht="22.5">
      <c r="B206" s="395"/>
      <c r="C206" s="393"/>
      <c r="D206" s="393"/>
      <c r="E206" s="381"/>
      <c r="F206" s="393"/>
      <c r="G206" s="377"/>
    </row>
    <row r="207" spans="2:7" ht="22.5">
      <c r="B207" s="395"/>
      <c r="C207" s="393"/>
      <c r="D207" s="393"/>
      <c r="E207" s="381"/>
      <c r="F207" s="393"/>
      <c r="G207" s="377"/>
    </row>
    <row r="208" spans="2:7" ht="22.5">
      <c r="B208" s="386"/>
      <c r="C208" s="399"/>
      <c r="D208" s="399"/>
      <c r="E208" s="399"/>
      <c r="F208" s="399"/>
      <c r="G208" s="400"/>
    </row>
    <row r="214" spans="2:7" ht="22.5">
      <c r="B214" s="668" t="s">
        <v>28</v>
      </c>
      <c r="C214" s="668"/>
      <c r="D214" s="668"/>
      <c r="E214" s="668"/>
      <c r="F214" s="668"/>
      <c r="G214" s="668"/>
    </row>
    <row r="215" spans="2:7" ht="22.5">
      <c r="B215" s="668" t="s">
        <v>29</v>
      </c>
      <c r="C215" s="668"/>
      <c r="D215" s="668"/>
      <c r="E215" s="668"/>
      <c r="F215" s="668"/>
      <c r="G215" s="668"/>
    </row>
    <row r="216" spans="2:7" ht="22.5">
      <c r="B216" s="669" t="s">
        <v>322</v>
      </c>
      <c r="C216" s="669"/>
      <c r="D216" s="669"/>
      <c r="E216" s="669"/>
      <c r="F216" s="669"/>
      <c r="G216" s="669"/>
    </row>
    <row r="217" spans="2:7" ht="22.5">
      <c r="B217" s="369" t="s">
        <v>314</v>
      </c>
      <c r="C217" s="369"/>
      <c r="D217" s="369"/>
      <c r="E217" s="369"/>
      <c r="F217" s="369"/>
      <c r="G217" s="369"/>
    </row>
    <row r="218" spans="2:7" ht="22.5">
      <c r="B218" s="370" t="s">
        <v>36</v>
      </c>
      <c r="C218" s="371" t="s">
        <v>35</v>
      </c>
      <c r="D218" s="670" t="s">
        <v>315</v>
      </c>
      <c r="E218" s="671"/>
      <c r="F218" s="672" t="s">
        <v>38</v>
      </c>
      <c r="G218" s="671"/>
    </row>
    <row r="219" spans="2:7" ht="22.5">
      <c r="B219" s="376" t="s">
        <v>15</v>
      </c>
      <c r="C219" s="373"/>
      <c r="D219" s="402">
        <v>2821779</v>
      </c>
      <c r="E219" s="408">
        <v>38</v>
      </c>
      <c r="F219" s="376"/>
      <c r="G219" s="377"/>
    </row>
    <row r="220" spans="2:7" ht="22.5">
      <c r="B220" s="372" t="s">
        <v>16</v>
      </c>
      <c r="C220" s="379"/>
      <c r="D220" s="380"/>
      <c r="E220" s="381"/>
      <c r="F220" s="380">
        <f>D219</f>
        <v>2821779</v>
      </c>
      <c r="G220" s="409">
        <f>E219</f>
        <v>38</v>
      </c>
    </row>
    <row r="221" spans="2:7" ht="22.5">
      <c r="B221" s="372"/>
      <c r="C221" s="379"/>
      <c r="D221" s="380"/>
      <c r="E221" s="381"/>
      <c r="F221" s="383"/>
      <c r="G221" s="384"/>
    </row>
    <row r="222" spans="2:7" ht="22.5">
      <c r="B222" s="372"/>
      <c r="C222" s="379"/>
      <c r="D222" s="383"/>
      <c r="E222" s="381"/>
      <c r="F222" s="383"/>
      <c r="G222" s="384"/>
    </row>
    <row r="223" spans="2:7" ht="22.5">
      <c r="B223" s="372"/>
      <c r="C223" s="379"/>
      <c r="D223" s="383"/>
      <c r="E223" s="381"/>
      <c r="F223" s="383"/>
      <c r="G223" s="384"/>
    </row>
    <row r="224" spans="2:7" ht="22.5">
      <c r="B224" s="372"/>
      <c r="C224" s="379"/>
      <c r="D224" s="383"/>
      <c r="E224" s="381"/>
      <c r="F224" s="383"/>
      <c r="G224" s="384"/>
    </row>
    <row r="225" spans="2:7" ht="22.5">
      <c r="B225" s="372"/>
      <c r="C225" s="379"/>
      <c r="D225" s="380"/>
      <c r="E225" s="381"/>
      <c r="F225" s="383"/>
      <c r="G225" s="384"/>
    </row>
    <row r="226" spans="2:7" ht="22.5">
      <c r="B226" s="372"/>
      <c r="C226" s="379"/>
      <c r="D226" s="380"/>
      <c r="E226" s="381"/>
      <c r="F226" s="383"/>
      <c r="G226" s="384"/>
    </row>
    <row r="227" spans="2:7" ht="22.5">
      <c r="B227" s="372"/>
      <c r="C227" s="379"/>
      <c r="D227" s="380"/>
      <c r="E227" s="381"/>
      <c r="F227" s="380"/>
      <c r="G227" s="384"/>
    </row>
    <row r="228" spans="2:7" ht="22.5">
      <c r="B228" s="372"/>
      <c r="C228" s="379"/>
      <c r="D228" s="380"/>
      <c r="E228" s="381"/>
      <c r="F228" s="380"/>
      <c r="G228" s="384"/>
    </row>
    <row r="229" spans="2:7" ht="22.5">
      <c r="B229" s="372"/>
      <c r="C229" s="379"/>
      <c r="D229" s="380"/>
      <c r="E229" s="381"/>
      <c r="F229" s="380"/>
      <c r="G229" s="384"/>
    </row>
    <row r="230" spans="2:7" ht="22.5">
      <c r="B230" s="372"/>
      <c r="C230" s="379"/>
      <c r="D230" s="372"/>
      <c r="E230" s="381"/>
      <c r="F230" s="380"/>
      <c r="G230" s="384"/>
    </row>
    <row r="231" spans="2:7" ht="22.5">
      <c r="B231" s="372"/>
      <c r="C231" s="379"/>
      <c r="D231" s="372"/>
      <c r="E231" s="381"/>
      <c r="F231" s="380"/>
      <c r="G231" s="384"/>
    </row>
    <row r="232" spans="2:7" ht="22.5">
      <c r="B232" s="386"/>
      <c r="C232" s="387"/>
      <c r="D232" s="388"/>
      <c r="E232" s="389"/>
      <c r="F232" s="390"/>
      <c r="G232" s="389"/>
    </row>
    <row r="233" spans="2:7" ht="22.5">
      <c r="B233" s="391" t="s">
        <v>323</v>
      </c>
      <c r="C233" s="392"/>
      <c r="D233" s="393"/>
      <c r="E233" s="381"/>
      <c r="F233" s="394"/>
      <c r="G233" s="384"/>
    </row>
    <row r="234" spans="2:7" ht="22.5">
      <c r="B234" s="673" t="s">
        <v>17</v>
      </c>
      <c r="C234" s="674"/>
      <c r="D234" s="674"/>
      <c r="E234" s="674"/>
      <c r="F234" s="674"/>
      <c r="G234" s="675"/>
    </row>
    <row r="235" spans="2:7" ht="22.5">
      <c r="B235" s="395" t="s">
        <v>30</v>
      </c>
      <c r="C235" s="392"/>
      <c r="D235" s="393"/>
      <c r="E235" s="381"/>
      <c r="F235" s="394"/>
      <c r="G235" s="384"/>
    </row>
    <row r="236" spans="2:7" ht="22.5">
      <c r="B236" s="395"/>
      <c r="C236" s="392"/>
      <c r="D236" s="393"/>
      <c r="E236" s="381"/>
      <c r="F236" s="394"/>
      <c r="G236" s="384"/>
    </row>
    <row r="237" spans="2:7" ht="22.5">
      <c r="B237" s="395"/>
      <c r="C237" s="392"/>
      <c r="D237" s="393"/>
      <c r="E237" s="381"/>
      <c r="F237" s="394"/>
      <c r="G237" s="384"/>
    </row>
    <row r="238" spans="2:7" ht="22.5">
      <c r="B238" s="395"/>
      <c r="C238" s="392"/>
      <c r="D238" s="393"/>
      <c r="E238" s="381"/>
      <c r="F238" s="394"/>
      <c r="G238" s="384"/>
    </row>
    <row r="239" spans="2:7" ht="22.5">
      <c r="B239" s="395" t="s">
        <v>320</v>
      </c>
      <c r="C239" s="393"/>
      <c r="D239" s="393"/>
      <c r="E239" s="381"/>
      <c r="F239" s="393"/>
      <c r="G239" s="377"/>
    </row>
    <row r="240" spans="2:7" ht="22.5">
      <c r="B240" s="395"/>
      <c r="C240" s="393"/>
      <c r="D240" s="393"/>
      <c r="E240" s="381"/>
      <c r="F240" s="393"/>
      <c r="G240" s="377"/>
    </row>
    <row r="241" spans="2:7" ht="22.5">
      <c r="B241" s="395"/>
      <c r="C241" s="393"/>
      <c r="D241" s="393"/>
      <c r="E241" s="381"/>
      <c r="F241" s="393"/>
      <c r="G241" s="377"/>
    </row>
    <row r="242" spans="2:7" ht="22.5">
      <c r="B242" s="395"/>
      <c r="C242" s="393"/>
      <c r="D242" s="393"/>
      <c r="E242" s="381"/>
      <c r="F242" s="393"/>
      <c r="G242" s="377"/>
    </row>
    <row r="243" spans="2:7" ht="22.5">
      <c r="B243" s="395"/>
      <c r="C243" s="393"/>
      <c r="D243" s="393"/>
      <c r="E243" s="381"/>
      <c r="F243" s="393"/>
      <c r="G243" s="377"/>
    </row>
    <row r="244" spans="2:7" ht="22.5">
      <c r="B244" s="395"/>
      <c r="C244" s="393"/>
      <c r="D244" s="393"/>
      <c r="E244" s="381"/>
      <c r="F244" s="393"/>
      <c r="G244" s="377"/>
    </row>
    <row r="245" spans="2:7" ht="22.5">
      <c r="B245" s="386"/>
      <c r="C245" s="399"/>
      <c r="D245" s="399"/>
      <c r="E245" s="399"/>
      <c r="F245" s="399"/>
      <c r="G245" s="400"/>
    </row>
    <row r="251" spans="2:7" ht="22.5">
      <c r="B251" s="668" t="s">
        <v>0</v>
      </c>
      <c r="C251" s="668"/>
      <c r="D251" s="668"/>
      <c r="E251" s="668"/>
      <c r="F251" s="668"/>
      <c r="G251" s="668"/>
    </row>
    <row r="252" spans="2:7" ht="22.5">
      <c r="B252" s="668" t="s">
        <v>31</v>
      </c>
      <c r="C252" s="668"/>
      <c r="D252" s="668"/>
      <c r="E252" s="668"/>
      <c r="F252" s="668"/>
      <c r="G252" s="668"/>
    </row>
    <row r="253" spans="2:7" ht="22.5">
      <c r="B253" s="669" t="s">
        <v>322</v>
      </c>
      <c r="C253" s="669"/>
      <c r="D253" s="669"/>
      <c r="E253" s="669"/>
      <c r="F253" s="669"/>
      <c r="G253" s="669"/>
    </row>
    <row r="254" spans="2:7" ht="22.5">
      <c r="B254" s="369" t="s">
        <v>314</v>
      </c>
      <c r="C254" s="369"/>
      <c r="D254" s="369"/>
      <c r="E254" s="369"/>
      <c r="F254" s="369"/>
      <c r="G254" s="369"/>
    </row>
    <row r="255" spans="2:7" ht="22.5">
      <c r="B255" s="370" t="s">
        <v>36</v>
      </c>
      <c r="C255" s="371" t="s">
        <v>35</v>
      </c>
      <c r="D255" s="670" t="s">
        <v>315</v>
      </c>
      <c r="E255" s="671"/>
      <c r="F255" s="672" t="s">
        <v>38</v>
      </c>
      <c r="G255" s="671"/>
    </row>
    <row r="256" spans="2:7" ht="22.5">
      <c r="B256" s="376" t="s">
        <v>15</v>
      </c>
      <c r="C256" s="373"/>
      <c r="D256" s="402">
        <v>2227302</v>
      </c>
      <c r="E256" s="392" t="s">
        <v>32</v>
      </c>
      <c r="F256" s="376"/>
      <c r="G256" s="377"/>
    </row>
    <row r="257" spans="2:7" ht="22.5">
      <c r="B257" s="372" t="s">
        <v>16</v>
      </c>
      <c r="C257" s="379"/>
      <c r="D257" s="380"/>
      <c r="E257" s="381"/>
      <c r="F257" s="380">
        <f>D256</f>
        <v>2227302</v>
      </c>
      <c r="G257" s="409" t="str">
        <f>E256</f>
        <v>05</v>
      </c>
    </row>
    <row r="258" spans="2:7" ht="22.5">
      <c r="B258" s="372"/>
      <c r="C258" s="379"/>
      <c r="D258" s="380"/>
      <c r="E258" s="381"/>
      <c r="F258" s="383"/>
      <c r="G258" s="384"/>
    </row>
    <row r="259" spans="2:7" ht="22.5">
      <c r="B259" s="372"/>
      <c r="C259" s="379"/>
      <c r="D259" s="383"/>
      <c r="E259" s="381"/>
      <c r="F259" s="383"/>
      <c r="G259" s="384"/>
    </row>
    <row r="260" spans="2:7" ht="22.5">
      <c r="B260" s="372"/>
      <c r="C260" s="379"/>
      <c r="D260" s="383"/>
      <c r="E260" s="381"/>
      <c r="F260" s="383"/>
      <c r="G260" s="384"/>
    </row>
    <row r="261" spans="2:7" ht="22.5">
      <c r="B261" s="372"/>
      <c r="C261" s="379"/>
      <c r="D261" s="383"/>
      <c r="E261" s="381"/>
      <c r="F261" s="383"/>
      <c r="G261" s="384"/>
    </row>
    <row r="262" spans="2:7" ht="22.5">
      <c r="B262" s="372"/>
      <c r="C262" s="379"/>
      <c r="D262" s="380"/>
      <c r="E262" s="381"/>
      <c r="F262" s="383"/>
      <c r="G262" s="384"/>
    </row>
    <row r="263" spans="2:7" ht="22.5">
      <c r="B263" s="372"/>
      <c r="C263" s="379"/>
      <c r="D263" s="380"/>
      <c r="E263" s="381"/>
      <c r="F263" s="383"/>
      <c r="G263" s="384"/>
    </row>
    <row r="264" spans="2:7" ht="22.5">
      <c r="B264" s="372"/>
      <c r="C264" s="379"/>
      <c r="D264" s="380"/>
      <c r="E264" s="381"/>
      <c r="F264" s="380"/>
      <c r="G264" s="384"/>
    </row>
    <row r="265" spans="2:7" ht="22.5">
      <c r="B265" s="372"/>
      <c r="C265" s="379"/>
      <c r="D265" s="380"/>
      <c r="E265" s="381"/>
      <c r="F265" s="380"/>
      <c r="G265" s="384"/>
    </row>
    <row r="266" spans="2:7" ht="22.5">
      <c r="B266" s="372"/>
      <c r="C266" s="379"/>
      <c r="D266" s="380"/>
      <c r="E266" s="381"/>
      <c r="F266" s="380"/>
      <c r="G266" s="384"/>
    </row>
    <row r="267" spans="2:7" ht="22.5">
      <c r="B267" s="372"/>
      <c r="C267" s="379"/>
      <c r="D267" s="372"/>
      <c r="E267" s="381"/>
      <c r="F267" s="380"/>
      <c r="G267" s="384"/>
    </row>
    <row r="268" spans="2:7" ht="22.5">
      <c r="B268" s="372"/>
      <c r="C268" s="379"/>
      <c r="D268" s="372"/>
      <c r="E268" s="381"/>
      <c r="F268" s="380"/>
      <c r="G268" s="384"/>
    </row>
    <row r="269" spans="2:7" ht="22.5">
      <c r="B269" s="386"/>
      <c r="C269" s="387"/>
      <c r="D269" s="388"/>
      <c r="E269" s="389"/>
      <c r="F269" s="390"/>
      <c r="G269" s="389"/>
    </row>
    <row r="270" spans="2:7" ht="22.5">
      <c r="B270" s="391" t="s">
        <v>323</v>
      </c>
      <c r="C270" s="392"/>
      <c r="D270" s="393"/>
      <c r="E270" s="381"/>
      <c r="F270" s="394"/>
      <c r="G270" s="384"/>
    </row>
    <row r="271" spans="2:7" ht="22.5">
      <c r="B271" s="673" t="s">
        <v>17</v>
      </c>
      <c r="C271" s="674"/>
      <c r="D271" s="674"/>
      <c r="E271" s="674"/>
      <c r="F271" s="674"/>
      <c r="G271" s="675"/>
    </row>
    <row r="272" spans="2:7" ht="22.5">
      <c r="B272" s="395" t="s">
        <v>33</v>
      </c>
      <c r="C272" s="392"/>
      <c r="D272" s="393"/>
      <c r="E272" s="381"/>
      <c r="F272" s="394"/>
      <c r="G272" s="384"/>
    </row>
    <row r="273" spans="2:7" ht="22.5">
      <c r="B273" s="395"/>
      <c r="C273" s="392"/>
      <c r="D273" s="393"/>
      <c r="E273" s="381"/>
      <c r="F273" s="394"/>
      <c r="G273" s="384"/>
    </row>
    <row r="274" spans="2:7" ht="22.5">
      <c r="B274" s="395"/>
      <c r="C274" s="392"/>
      <c r="D274" s="393"/>
      <c r="E274" s="381"/>
      <c r="F274" s="394"/>
      <c r="G274" s="384"/>
    </row>
    <row r="275" spans="2:7" ht="22.5">
      <c r="B275" s="395"/>
      <c r="C275" s="392"/>
      <c r="D275" s="393"/>
      <c r="E275" s="381"/>
      <c r="F275" s="394"/>
      <c r="G275" s="384"/>
    </row>
    <row r="276" spans="2:7" ht="22.5">
      <c r="B276" s="395" t="s">
        <v>320</v>
      </c>
      <c r="C276" s="393"/>
      <c r="D276" s="393"/>
      <c r="E276" s="381"/>
      <c r="F276" s="393"/>
      <c r="G276" s="377"/>
    </row>
    <row r="277" spans="2:7" ht="22.5">
      <c r="B277" s="395"/>
      <c r="C277" s="393"/>
      <c r="D277" s="393"/>
      <c r="E277" s="381"/>
      <c r="F277" s="393"/>
      <c r="G277" s="377"/>
    </row>
    <row r="278" spans="2:7" ht="22.5">
      <c r="B278" s="395"/>
      <c r="C278" s="393"/>
      <c r="D278" s="393"/>
      <c r="E278" s="381"/>
      <c r="F278" s="393"/>
      <c r="G278" s="377"/>
    </row>
    <row r="279" spans="2:7" ht="22.5">
      <c r="B279" s="395"/>
      <c r="C279" s="393"/>
      <c r="D279" s="393"/>
      <c r="E279" s="381"/>
      <c r="F279" s="393"/>
      <c r="G279" s="377"/>
    </row>
    <row r="280" spans="2:7" ht="22.5">
      <c r="B280" s="395"/>
      <c r="C280" s="393"/>
      <c r="D280" s="393"/>
      <c r="E280" s="381"/>
      <c r="F280" s="393"/>
      <c r="G280" s="377"/>
    </row>
    <row r="281" spans="2:7" ht="22.5">
      <c r="B281" s="395"/>
      <c r="C281" s="393"/>
      <c r="D281" s="393"/>
      <c r="E281" s="381"/>
      <c r="F281" s="393"/>
      <c r="G281" s="377"/>
    </row>
    <row r="282" spans="2:7" ht="22.5">
      <c r="B282" s="386"/>
      <c r="C282" s="399"/>
      <c r="D282" s="399"/>
      <c r="E282" s="399"/>
      <c r="F282" s="399"/>
      <c r="G282" s="400"/>
    </row>
  </sheetData>
  <sheetProtection/>
  <mergeCells count="48">
    <mergeCell ref="D255:E255"/>
    <mergeCell ref="F255:G255"/>
    <mergeCell ref="B271:G271"/>
    <mergeCell ref="B234:G234"/>
    <mergeCell ref="B251:G251"/>
    <mergeCell ref="B252:G252"/>
    <mergeCell ref="B253:G253"/>
    <mergeCell ref="B215:G215"/>
    <mergeCell ref="B216:G216"/>
    <mergeCell ref="D218:E218"/>
    <mergeCell ref="F218:G218"/>
    <mergeCell ref="D181:E181"/>
    <mergeCell ref="F181:G181"/>
    <mergeCell ref="B197:G197"/>
    <mergeCell ref="B214:G214"/>
    <mergeCell ref="B161:G161"/>
    <mergeCell ref="B177:G177"/>
    <mergeCell ref="B178:G178"/>
    <mergeCell ref="B179:G179"/>
    <mergeCell ref="B142:G142"/>
    <mergeCell ref="B143:G143"/>
    <mergeCell ref="D145:E145"/>
    <mergeCell ref="F145:G145"/>
    <mergeCell ref="D111:E111"/>
    <mergeCell ref="F111:G111"/>
    <mergeCell ref="B127:G127"/>
    <mergeCell ref="B141:G141"/>
    <mergeCell ref="B91:G91"/>
    <mergeCell ref="B107:G107"/>
    <mergeCell ref="B108:G108"/>
    <mergeCell ref="B109:G109"/>
    <mergeCell ref="B74:G74"/>
    <mergeCell ref="B75:G75"/>
    <mergeCell ref="D77:E77"/>
    <mergeCell ref="F77:G77"/>
    <mergeCell ref="D40:E40"/>
    <mergeCell ref="F40:G40"/>
    <mergeCell ref="B56:G56"/>
    <mergeCell ref="B73:G73"/>
    <mergeCell ref="B28:G28"/>
    <mergeCell ref="B36:G36"/>
    <mergeCell ref="B37:G37"/>
    <mergeCell ref="B38:G38"/>
    <mergeCell ref="B1:G1"/>
    <mergeCell ref="B2:G2"/>
    <mergeCell ref="B3:G3"/>
    <mergeCell ref="D5:E5"/>
    <mergeCell ref="F5:G5"/>
  </mergeCells>
  <printOptions/>
  <pageMargins left="0.6" right="0.59" top="0.8" bottom="0.62" header="0.5" footer="0.4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7"/>
  <sheetViews>
    <sheetView view="pageBreakPreview" zoomScaleSheetLayoutView="100" zoomScalePageLayoutView="0" workbookViewId="0" topLeftCell="A25">
      <selection activeCell="I32" sqref="I32"/>
    </sheetView>
  </sheetViews>
  <sheetFormatPr defaultColWidth="9.140625" defaultRowHeight="21.75"/>
  <cols>
    <col min="1" max="1" width="46.421875" style="13" customWidth="1"/>
    <col min="2" max="2" width="9.140625" style="13" customWidth="1"/>
    <col min="3" max="3" width="13.8515625" style="13" customWidth="1"/>
    <col min="4" max="4" width="4.8515625" style="13" customWidth="1"/>
    <col min="5" max="5" width="12.421875" style="13" customWidth="1"/>
    <col min="6" max="6" width="4.57421875" style="13" customWidth="1"/>
    <col min="7" max="16384" width="9.140625" style="13" customWidth="1"/>
  </cols>
  <sheetData>
    <row r="1" spans="1:6" ht="22.5">
      <c r="A1" s="668" t="s">
        <v>557</v>
      </c>
      <c r="B1" s="668"/>
      <c r="C1" s="668"/>
      <c r="D1" s="668"/>
      <c r="E1" s="668"/>
      <c r="F1" s="668"/>
    </row>
    <row r="2" spans="1:6" ht="22.5">
      <c r="A2" s="668" t="s">
        <v>657</v>
      </c>
      <c r="B2" s="668"/>
      <c r="C2" s="668"/>
      <c r="D2" s="668"/>
      <c r="E2" s="668"/>
      <c r="F2" s="668"/>
    </row>
    <row r="3" spans="1:6" ht="22.5">
      <c r="A3" s="669" t="s">
        <v>322</v>
      </c>
      <c r="B3" s="669"/>
      <c r="C3" s="669"/>
      <c r="D3" s="669"/>
      <c r="E3" s="669"/>
      <c r="F3" s="669"/>
    </row>
    <row r="4" spans="1:6" ht="22.5">
      <c r="A4" s="369" t="s">
        <v>314</v>
      </c>
      <c r="B4" s="369"/>
      <c r="C4" s="369"/>
      <c r="D4" s="369"/>
      <c r="E4" s="369"/>
      <c r="F4" s="369"/>
    </row>
    <row r="5" spans="1:6" ht="22.5">
      <c r="A5" s="370" t="s">
        <v>36</v>
      </c>
      <c r="B5" s="371" t="s">
        <v>35</v>
      </c>
      <c r="C5" s="670" t="s">
        <v>315</v>
      </c>
      <c r="D5" s="671"/>
      <c r="E5" s="672" t="s">
        <v>38</v>
      </c>
      <c r="F5" s="671"/>
    </row>
    <row r="6" spans="1:6" ht="22.5">
      <c r="A6" s="376" t="s">
        <v>3</v>
      </c>
      <c r="B6" s="373"/>
      <c r="C6" s="402">
        <v>6972454</v>
      </c>
      <c r="D6" s="392" t="s">
        <v>658</v>
      </c>
      <c r="E6" s="376"/>
      <c r="F6" s="377"/>
    </row>
    <row r="7" spans="1:6" ht="22.5">
      <c r="A7" s="372" t="s">
        <v>4</v>
      </c>
      <c r="B7" s="379"/>
      <c r="C7" s="380"/>
      <c r="D7" s="381"/>
      <c r="E7" s="380">
        <f>C6</f>
        <v>6972454</v>
      </c>
      <c r="F7" s="404" t="str">
        <f>D6</f>
        <v>89</v>
      </c>
    </row>
    <row r="8" spans="1:6" ht="22.5">
      <c r="A8" s="372"/>
      <c r="B8" s="379"/>
      <c r="C8" s="380"/>
      <c r="D8" s="381"/>
      <c r="E8" s="383"/>
      <c r="F8" s="384"/>
    </row>
    <row r="9" spans="1:6" ht="22.5">
      <c r="A9" s="372"/>
      <c r="B9" s="379"/>
      <c r="C9" s="383"/>
      <c r="D9" s="381"/>
      <c r="E9" s="383"/>
      <c r="F9" s="384"/>
    </row>
    <row r="10" spans="1:6" ht="22.5">
      <c r="A10" s="372"/>
      <c r="B10" s="379"/>
      <c r="C10" s="380"/>
      <c r="D10" s="381"/>
      <c r="E10" s="383"/>
      <c r="F10" s="384"/>
    </row>
    <row r="11" spans="1:6" ht="22.5">
      <c r="A11" s="372"/>
      <c r="B11" s="379"/>
      <c r="C11" s="380"/>
      <c r="D11" s="381"/>
      <c r="E11" s="383"/>
      <c r="F11" s="405"/>
    </row>
    <row r="12" spans="1:6" ht="22.5">
      <c r="A12" s="372"/>
      <c r="B12" s="379"/>
      <c r="C12" s="380"/>
      <c r="D12" s="381"/>
      <c r="E12" s="380"/>
      <c r="F12" s="384"/>
    </row>
    <row r="13" spans="1:6" ht="22.5">
      <c r="A13" s="372"/>
      <c r="B13" s="379"/>
      <c r="C13" s="372"/>
      <c r="D13" s="381"/>
      <c r="E13" s="380"/>
      <c r="F13" s="384"/>
    </row>
    <row r="14" spans="1:6" ht="22.5">
      <c r="A14" s="372"/>
      <c r="B14" s="379"/>
      <c r="C14" s="372"/>
      <c r="D14" s="381"/>
      <c r="E14" s="380"/>
      <c r="F14" s="384"/>
    </row>
    <row r="15" spans="1:6" ht="22.5">
      <c r="A15" s="386"/>
      <c r="B15" s="387"/>
      <c r="C15" s="388"/>
      <c r="D15" s="389"/>
      <c r="E15" s="390"/>
      <c r="F15" s="389"/>
    </row>
    <row r="16" spans="1:6" ht="22.5">
      <c r="A16" s="395"/>
      <c r="B16" s="392"/>
      <c r="C16" s="406"/>
      <c r="D16" s="381"/>
      <c r="E16" s="394"/>
      <c r="F16" s="384"/>
    </row>
    <row r="17" spans="1:6" ht="22.5">
      <c r="A17" s="391" t="s">
        <v>323</v>
      </c>
      <c r="B17" s="392"/>
      <c r="C17" s="393"/>
      <c r="D17" s="381"/>
      <c r="E17" s="394"/>
      <c r="F17" s="384"/>
    </row>
    <row r="18" spans="1:6" ht="22.5">
      <c r="A18" s="673" t="s">
        <v>5</v>
      </c>
      <c r="B18" s="674"/>
      <c r="C18" s="674"/>
      <c r="D18" s="674"/>
      <c r="E18" s="674"/>
      <c r="F18" s="675"/>
    </row>
    <row r="19" spans="1:6" ht="22.5">
      <c r="A19" s="395" t="s">
        <v>6</v>
      </c>
      <c r="B19" s="392"/>
      <c r="C19" s="393"/>
      <c r="D19" s="381"/>
      <c r="E19" s="394"/>
      <c r="F19" s="384"/>
    </row>
    <row r="20" spans="1:6" ht="22.5">
      <c r="A20" s="395"/>
      <c r="B20" s="392"/>
      <c r="C20" s="393"/>
      <c r="D20" s="381"/>
      <c r="E20" s="394"/>
      <c r="F20" s="384"/>
    </row>
    <row r="21" spans="1:6" ht="22.5">
      <c r="A21" s="395"/>
      <c r="B21" s="392"/>
      <c r="C21" s="393"/>
      <c r="D21" s="381"/>
      <c r="E21" s="394"/>
      <c r="F21" s="384"/>
    </row>
    <row r="22" spans="1:6" ht="22.5">
      <c r="A22" s="395" t="s">
        <v>320</v>
      </c>
      <c r="B22" s="393"/>
      <c r="C22" s="393"/>
      <c r="D22" s="381"/>
      <c r="E22" s="393"/>
      <c r="F22" s="377"/>
    </row>
    <row r="23" spans="1:6" ht="22.5">
      <c r="A23" s="395"/>
      <c r="B23" s="393"/>
      <c r="C23" s="393"/>
      <c r="D23" s="381"/>
      <c r="E23" s="393"/>
      <c r="F23" s="377"/>
    </row>
    <row r="24" spans="1:6" ht="22.5">
      <c r="A24" s="395"/>
      <c r="B24" s="393"/>
      <c r="C24" s="393"/>
      <c r="D24" s="381"/>
      <c r="E24" s="393"/>
      <c r="F24" s="377"/>
    </row>
    <row r="25" spans="1:6" ht="22.5">
      <c r="A25" s="395"/>
      <c r="B25" s="393"/>
      <c r="C25" s="393"/>
      <c r="D25" s="381"/>
      <c r="E25" s="393"/>
      <c r="F25" s="377"/>
    </row>
    <row r="26" spans="1:6" ht="22.5">
      <c r="A26" s="395"/>
      <c r="B26" s="393"/>
      <c r="C26" s="393"/>
      <c r="D26" s="381"/>
      <c r="E26" s="393"/>
      <c r="F26" s="377"/>
    </row>
    <row r="27" spans="1:6" ht="22.5">
      <c r="A27" s="395"/>
      <c r="B27" s="393"/>
      <c r="C27" s="393"/>
      <c r="D27" s="381"/>
      <c r="E27" s="393"/>
      <c r="F27" s="377"/>
    </row>
    <row r="28" spans="1:6" ht="22.5">
      <c r="A28" s="386"/>
      <c r="B28" s="399"/>
      <c r="C28" s="399"/>
      <c r="D28" s="399"/>
      <c r="E28" s="399"/>
      <c r="F28" s="400"/>
    </row>
    <row r="34" spans="1:6" ht="22.5">
      <c r="A34" s="668" t="s">
        <v>9</v>
      </c>
      <c r="B34" s="668"/>
      <c r="C34" s="668"/>
      <c r="D34" s="668"/>
      <c r="E34" s="668"/>
      <c r="F34" s="668"/>
    </row>
    <row r="35" spans="1:6" ht="22.5">
      <c r="A35" s="668" t="s">
        <v>375</v>
      </c>
      <c r="B35" s="668"/>
      <c r="C35" s="668"/>
      <c r="D35" s="668"/>
      <c r="E35" s="668"/>
      <c r="F35" s="668"/>
    </row>
    <row r="36" spans="1:6" ht="22.5">
      <c r="A36" s="669" t="s">
        <v>322</v>
      </c>
      <c r="B36" s="669"/>
      <c r="C36" s="669"/>
      <c r="D36" s="669"/>
      <c r="E36" s="669"/>
      <c r="F36" s="669"/>
    </row>
    <row r="37" spans="1:6" ht="22.5">
      <c r="A37" s="369" t="s">
        <v>314</v>
      </c>
      <c r="B37" s="369"/>
      <c r="C37" s="369"/>
      <c r="D37" s="369"/>
      <c r="E37" s="369"/>
      <c r="F37" s="369"/>
    </row>
    <row r="38" spans="1:6" ht="22.5">
      <c r="A38" s="370" t="s">
        <v>36</v>
      </c>
      <c r="B38" s="371" t="s">
        <v>35</v>
      </c>
      <c r="C38" s="670" t="s">
        <v>315</v>
      </c>
      <c r="D38" s="671"/>
      <c r="E38" s="672" t="s">
        <v>38</v>
      </c>
      <c r="F38" s="671"/>
    </row>
    <row r="39" spans="1:6" ht="22.5">
      <c r="A39" s="376" t="s">
        <v>3</v>
      </c>
      <c r="B39" s="373"/>
      <c r="C39" s="402">
        <v>3163356</v>
      </c>
      <c r="D39" s="403">
        <v>29</v>
      </c>
      <c r="E39" s="376"/>
      <c r="F39" s="377"/>
    </row>
    <row r="40" spans="1:6" ht="22.5">
      <c r="A40" s="372" t="s">
        <v>4</v>
      </c>
      <c r="B40" s="379"/>
      <c r="C40" s="380"/>
      <c r="D40" s="381"/>
      <c r="E40" s="380">
        <f>C39</f>
        <v>3163356</v>
      </c>
      <c r="F40" s="404">
        <f>D39</f>
        <v>29</v>
      </c>
    </row>
    <row r="41" spans="1:6" ht="22.5">
      <c r="A41" s="372"/>
      <c r="B41" s="379"/>
      <c r="C41" s="380"/>
      <c r="D41" s="381"/>
      <c r="E41" s="383"/>
      <c r="F41" s="384"/>
    </row>
    <row r="42" spans="1:6" ht="22.5">
      <c r="A42" s="372"/>
      <c r="B42" s="379"/>
      <c r="C42" s="383"/>
      <c r="D42" s="381"/>
      <c r="E42" s="383"/>
      <c r="F42" s="384"/>
    </row>
    <row r="43" spans="1:6" ht="22.5">
      <c r="A43" s="372"/>
      <c r="B43" s="379"/>
      <c r="C43" s="380"/>
      <c r="D43" s="381"/>
      <c r="E43" s="383"/>
      <c r="F43" s="384"/>
    </row>
    <row r="44" spans="1:6" ht="22.5">
      <c r="A44" s="372"/>
      <c r="B44" s="379"/>
      <c r="C44" s="380"/>
      <c r="D44" s="381"/>
      <c r="E44" s="383"/>
      <c r="F44" s="405"/>
    </row>
    <row r="45" spans="1:6" ht="22.5">
      <c r="A45" s="372"/>
      <c r="B45" s="379"/>
      <c r="C45" s="380"/>
      <c r="D45" s="381"/>
      <c r="E45" s="380"/>
      <c r="F45" s="384"/>
    </row>
    <row r="46" spans="1:6" ht="22.5">
      <c r="A46" s="372"/>
      <c r="B46" s="379"/>
      <c r="C46" s="372"/>
      <c r="D46" s="381"/>
      <c r="E46" s="380"/>
      <c r="F46" s="384"/>
    </row>
    <row r="47" spans="1:6" ht="22.5">
      <c r="A47" s="372"/>
      <c r="B47" s="379"/>
      <c r="C47" s="372"/>
      <c r="D47" s="381"/>
      <c r="E47" s="380"/>
      <c r="F47" s="384"/>
    </row>
    <row r="48" spans="1:6" ht="22.5">
      <c r="A48" s="386"/>
      <c r="B48" s="387"/>
      <c r="C48" s="388"/>
      <c r="D48" s="389"/>
      <c r="E48" s="390"/>
      <c r="F48" s="389"/>
    </row>
    <row r="49" spans="1:6" ht="22.5">
      <c r="A49" s="395"/>
      <c r="B49" s="392"/>
      <c r="C49" s="406"/>
      <c r="D49" s="381"/>
      <c r="E49" s="394"/>
      <c r="F49" s="384"/>
    </row>
    <row r="50" spans="1:6" ht="22.5">
      <c r="A50" s="391" t="s">
        <v>323</v>
      </c>
      <c r="B50" s="392"/>
      <c r="C50" s="393"/>
      <c r="D50" s="381"/>
      <c r="E50" s="394"/>
      <c r="F50" s="384"/>
    </row>
    <row r="51" spans="1:6" ht="22.5">
      <c r="A51" s="673" t="s">
        <v>5</v>
      </c>
      <c r="B51" s="674"/>
      <c r="C51" s="674"/>
      <c r="D51" s="674"/>
      <c r="E51" s="674"/>
      <c r="F51" s="675"/>
    </row>
    <row r="52" spans="1:6" ht="22.5">
      <c r="A52" s="395" t="s">
        <v>6</v>
      </c>
      <c r="B52" s="392"/>
      <c r="C52" s="393"/>
      <c r="D52" s="381"/>
      <c r="E52" s="394"/>
      <c r="F52" s="384"/>
    </row>
    <row r="53" spans="1:6" ht="22.5">
      <c r="A53" s="395"/>
      <c r="B53" s="392"/>
      <c r="C53" s="393"/>
      <c r="D53" s="381"/>
      <c r="E53" s="394"/>
      <c r="F53" s="384"/>
    </row>
    <row r="54" spans="1:6" ht="22.5">
      <c r="A54" s="395"/>
      <c r="B54" s="392"/>
      <c r="C54" s="393"/>
      <c r="D54" s="381"/>
      <c r="E54" s="394"/>
      <c r="F54" s="384"/>
    </row>
    <row r="55" spans="1:6" ht="22.5">
      <c r="A55" s="395" t="s">
        <v>320</v>
      </c>
      <c r="B55" s="393"/>
      <c r="C55" s="393"/>
      <c r="D55" s="381"/>
      <c r="E55" s="393"/>
      <c r="F55" s="377"/>
    </row>
    <row r="56" spans="1:6" ht="22.5">
      <c r="A56" s="395"/>
      <c r="B56" s="393"/>
      <c r="C56" s="393"/>
      <c r="D56" s="381"/>
      <c r="E56" s="393"/>
      <c r="F56" s="377"/>
    </row>
    <row r="57" spans="1:6" ht="22.5">
      <c r="A57" s="395"/>
      <c r="B57" s="393"/>
      <c r="C57" s="393"/>
      <c r="D57" s="381"/>
      <c r="E57" s="393"/>
      <c r="F57" s="377"/>
    </row>
    <row r="58" spans="1:6" ht="22.5">
      <c r="A58" s="395"/>
      <c r="B58" s="393"/>
      <c r="C58" s="393"/>
      <c r="D58" s="381"/>
      <c r="E58" s="393"/>
      <c r="F58" s="377"/>
    </row>
    <row r="59" spans="1:6" ht="22.5">
      <c r="A59" s="395"/>
      <c r="B59" s="393"/>
      <c r="C59" s="393"/>
      <c r="D59" s="381"/>
      <c r="E59" s="393"/>
      <c r="F59" s="377"/>
    </row>
    <row r="60" spans="1:6" ht="22.5">
      <c r="A60" s="395"/>
      <c r="B60" s="393"/>
      <c r="C60" s="393"/>
      <c r="D60" s="381"/>
      <c r="E60" s="393"/>
      <c r="F60" s="377"/>
    </row>
    <row r="61" spans="1:6" ht="22.5">
      <c r="A61" s="386"/>
      <c r="B61" s="399"/>
      <c r="C61" s="399"/>
      <c r="D61" s="399"/>
      <c r="E61" s="399"/>
      <c r="F61" s="400"/>
    </row>
    <row r="62" spans="1:6" ht="22.5">
      <c r="A62" s="401"/>
      <c r="B62" s="401"/>
      <c r="C62" s="401"/>
      <c r="D62" s="410"/>
      <c r="E62" s="401"/>
      <c r="F62" s="401"/>
    </row>
    <row r="63" spans="1:6" ht="22.5">
      <c r="A63" s="393"/>
      <c r="B63" s="393"/>
      <c r="C63" s="393"/>
      <c r="D63" s="381"/>
      <c r="E63" s="393"/>
      <c r="F63" s="393"/>
    </row>
    <row r="64" spans="1:6" ht="22.5">
      <c r="A64" s="393"/>
      <c r="B64" s="393"/>
      <c r="C64" s="393"/>
      <c r="D64" s="381"/>
      <c r="E64" s="393"/>
      <c r="F64" s="393"/>
    </row>
    <row r="65" spans="1:6" ht="22.5">
      <c r="A65" s="393"/>
      <c r="B65" s="393"/>
      <c r="C65" s="393"/>
      <c r="D65" s="381"/>
      <c r="E65" s="393"/>
      <c r="F65" s="393"/>
    </row>
    <row r="66" spans="1:6" ht="22.5">
      <c r="A66" s="393"/>
      <c r="B66" s="393"/>
      <c r="C66" s="393"/>
      <c r="D66" s="393"/>
      <c r="E66" s="393"/>
      <c r="F66" s="393"/>
    </row>
    <row r="67" spans="1:6" ht="22.5">
      <c r="A67" s="668" t="s">
        <v>10</v>
      </c>
      <c r="B67" s="668"/>
      <c r="C67" s="668"/>
      <c r="D67" s="668"/>
      <c r="E67" s="668"/>
      <c r="F67" s="668"/>
    </row>
    <row r="68" spans="1:6" ht="22.5">
      <c r="A68" s="668" t="s">
        <v>11</v>
      </c>
      <c r="B68" s="668"/>
      <c r="C68" s="668"/>
      <c r="D68" s="668"/>
      <c r="E68" s="668"/>
      <c r="F68" s="668"/>
    </row>
    <row r="69" spans="1:6" ht="22.5">
      <c r="A69" s="669" t="s">
        <v>322</v>
      </c>
      <c r="B69" s="669"/>
      <c r="C69" s="669"/>
      <c r="D69" s="669"/>
      <c r="E69" s="669"/>
      <c r="F69" s="669"/>
    </row>
    <row r="70" spans="1:6" ht="22.5">
      <c r="A70" s="369" t="s">
        <v>314</v>
      </c>
      <c r="B70" s="369"/>
      <c r="C70" s="369"/>
      <c r="D70" s="369"/>
      <c r="E70" s="369"/>
      <c r="F70" s="369"/>
    </row>
    <row r="71" spans="1:6" ht="22.5">
      <c r="A71" s="370" t="s">
        <v>36</v>
      </c>
      <c r="B71" s="371" t="s">
        <v>35</v>
      </c>
      <c r="C71" s="670" t="s">
        <v>315</v>
      </c>
      <c r="D71" s="671"/>
      <c r="E71" s="672" t="s">
        <v>38</v>
      </c>
      <c r="F71" s="671"/>
    </row>
    <row r="72" spans="1:6" ht="22.5">
      <c r="A72" s="376" t="s">
        <v>3</v>
      </c>
      <c r="B72" s="373"/>
      <c r="C72" s="402">
        <v>10500</v>
      </c>
      <c r="D72" s="403">
        <v>0</v>
      </c>
      <c r="E72" s="376"/>
      <c r="F72" s="377"/>
    </row>
    <row r="73" spans="1:6" ht="22.5">
      <c r="A73" s="407" t="s">
        <v>44</v>
      </c>
      <c r="B73" s="379"/>
      <c r="C73" s="380"/>
      <c r="D73" s="381"/>
      <c r="E73" s="380">
        <f>C72</f>
        <v>10500</v>
      </c>
      <c r="F73" s="404">
        <f>D72</f>
        <v>0</v>
      </c>
    </row>
    <row r="74" spans="1:6" ht="22.5">
      <c r="A74" s="372"/>
      <c r="B74" s="379"/>
      <c r="C74" s="380"/>
      <c r="D74" s="381"/>
      <c r="E74" s="383"/>
      <c r="F74" s="384"/>
    </row>
    <row r="75" spans="1:6" ht="22.5">
      <c r="A75" s="372"/>
      <c r="B75" s="379"/>
      <c r="C75" s="383"/>
      <c r="D75" s="381"/>
      <c r="E75" s="383"/>
      <c r="F75" s="384"/>
    </row>
    <row r="76" spans="1:6" ht="22.5">
      <c r="A76" s="372"/>
      <c r="B76" s="379"/>
      <c r="C76" s="380"/>
      <c r="D76" s="381"/>
      <c r="E76" s="383"/>
      <c r="F76" s="384"/>
    </row>
    <row r="77" spans="1:6" ht="22.5">
      <c r="A77" s="372"/>
      <c r="B77" s="379"/>
      <c r="C77" s="380"/>
      <c r="D77" s="381"/>
      <c r="E77" s="383"/>
      <c r="F77" s="405"/>
    </row>
    <row r="78" spans="1:6" ht="22.5">
      <c r="A78" s="372"/>
      <c r="B78" s="379"/>
      <c r="C78" s="380"/>
      <c r="D78" s="381"/>
      <c r="E78" s="380"/>
      <c r="F78" s="384"/>
    </row>
    <row r="79" spans="1:6" ht="22.5">
      <c r="A79" s="372"/>
      <c r="B79" s="379"/>
      <c r="C79" s="372"/>
      <c r="D79" s="381"/>
      <c r="E79" s="380"/>
      <c r="F79" s="384"/>
    </row>
    <row r="80" spans="1:6" ht="22.5">
      <c r="A80" s="372"/>
      <c r="B80" s="379"/>
      <c r="C80" s="372"/>
      <c r="D80" s="381"/>
      <c r="E80" s="380"/>
      <c r="F80" s="384"/>
    </row>
    <row r="81" spans="1:6" ht="22.5">
      <c r="A81" s="386"/>
      <c r="B81" s="387"/>
      <c r="C81" s="388"/>
      <c r="D81" s="389"/>
      <c r="E81" s="390"/>
      <c r="F81" s="389"/>
    </row>
    <row r="82" spans="1:6" ht="22.5">
      <c r="A82" s="395"/>
      <c r="B82" s="392"/>
      <c r="C82" s="406"/>
      <c r="D82" s="381"/>
      <c r="E82" s="394"/>
      <c r="F82" s="384"/>
    </row>
    <row r="83" spans="1:6" ht="22.5">
      <c r="A83" s="391" t="s">
        <v>323</v>
      </c>
      <c r="B83" s="392"/>
      <c r="C83" s="393"/>
      <c r="D83" s="381"/>
      <c r="E83" s="394"/>
      <c r="F83" s="384"/>
    </row>
    <row r="84" spans="1:6" ht="22.5">
      <c r="A84" s="673" t="s">
        <v>12</v>
      </c>
      <c r="B84" s="674"/>
      <c r="C84" s="674"/>
      <c r="D84" s="674"/>
      <c r="E84" s="674"/>
      <c r="F84" s="675"/>
    </row>
    <row r="85" spans="1:6" ht="22.5">
      <c r="A85" s="395" t="s">
        <v>13</v>
      </c>
      <c r="B85" s="392"/>
      <c r="C85" s="393"/>
      <c r="D85" s="381"/>
      <c r="E85" s="394"/>
      <c r="F85" s="384"/>
    </row>
    <row r="86" spans="1:6" ht="22.5">
      <c r="A86" s="395"/>
      <c r="B86" s="392"/>
      <c r="C86" s="393"/>
      <c r="D86" s="381"/>
      <c r="E86" s="394"/>
      <c r="F86" s="384"/>
    </row>
    <row r="87" spans="1:6" ht="22.5">
      <c r="A87" s="395"/>
      <c r="B87" s="392"/>
      <c r="C87" s="393"/>
      <c r="D87" s="381"/>
      <c r="E87" s="394"/>
      <c r="F87" s="384"/>
    </row>
    <row r="88" spans="1:6" ht="22.5">
      <c r="A88" s="395" t="s">
        <v>320</v>
      </c>
      <c r="B88" s="393"/>
      <c r="C88" s="393"/>
      <c r="D88" s="381"/>
      <c r="E88" s="393"/>
      <c r="F88" s="377"/>
    </row>
    <row r="89" spans="1:6" ht="22.5">
      <c r="A89" s="395"/>
      <c r="B89" s="393"/>
      <c r="C89" s="393"/>
      <c r="D89" s="381"/>
      <c r="E89" s="393"/>
      <c r="F89" s="377"/>
    </row>
    <row r="90" spans="1:6" ht="22.5">
      <c r="A90" s="395"/>
      <c r="B90" s="393"/>
      <c r="C90" s="393"/>
      <c r="D90" s="381"/>
      <c r="E90" s="393"/>
      <c r="F90" s="377"/>
    </row>
    <row r="91" spans="1:6" ht="22.5">
      <c r="A91" s="395"/>
      <c r="B91" s="393"/>
      <c r="C91" s="393"/>
      <c r="D91" s="381"/>
      <c r="E91" s="393"/>
      <c r="F91" s="377"/>
    </row>
    <row r="92" spans="1:6" ht="22.5">
      <c r="A92" s="395"/>
      <c r="B92" s="393"/>
      <c r="C92" s="393"/>
      <c r="D92" s="381"/>
      <c r="E92" s="393"/>
      <c r="F92" s="377"/>
    </row>
    <row r="93" spans="1:6" ht="22.5">
      <c r="A93" s="395"/>
      <c r="B93" s="393"/>
      <c r="C93" s="393"/>
      <c r="D93" s="381"/>
      <c r="E93" s="393"/>
      <c r="F93" s="377"/>
    </row>
    <row r="94" spans="1:6" ht="22.5">
      <c r="A94" s="386"/>
      <c r="B94" s="399"/>
      <c r="C94" s="399"/>
      <c r="D94" s="399"/>
      <c r="E94" s="399"/>
      <c r="F94" s="400"/>
    </row>
    <row r="95" spans="1:6" ht="22.5">
      <c r="A95" s="401"/>
      <c r="B95" s="401"/>
      <c r="C95" s="401"/>
      <c r="D95" s="401"/>
      <c r="E95" s="401"/>
      <c r="F95" s="401"/>
    </row>
    <row r="96" spans="1:6" ht="22.5">
      <c r="A96" s="393"/>
      <c r="B96" s="393"/>
      <c r="C96" s="393"/>
      <c r="D96" s="393"/>
      <c r="E96" s="393"/>
      <c r="F96" s="393"/>
    </row>
    <row r="97" spans="1:6" ht="22.5">
      <c r="A97" s="393"/>
      <c r="B97" s="393"/>
      <c r="C97" s="393"/>
      <c r="D97" s="393"/>
      <c r="E97" s="393"/>
      <c r="F97" s="393"/>
    </row>
    <row r="98" spans="1:6" ht="22.5">
      <c r="A98" s="393"/>
      <c r="B98" s="393"/>
      <c r="C98" s="393"/>
      <c r="D98" s="393"/>
      <c r="E98" s="393"/>
      <c r="F98" s="393"/>
    </row>
    <row r="99" spans="1:6" ht="22.5">
      <c r="A99" s="393"/>
      <c r="B99" s="393"/>
      <c r="C99" s="393"/>
      <c r="D99" s="393"/>
      <c r="E99" s="393"/>
      <c r="F99" s="393"/>
    </row>
    <row r="100" spans="1:6" ht="22.5">
      <c r="A100" s="668" t="s">
        <v>10</v>
      </c>
      <c r="B100" s="668"/>
      <c r="C100" s="668"/>
      <c r="D100" s="668"/>
      <c r="E100" s="668"/>
      <c r="F100" s="668"/>
    </row>
    <row r="101" spans="1:6" ht="22.5">
      <c r="A101" s="668" t="s">
        <v>11</v>
      </c>
      <c r="B101" s="668"/>
      <c r="C101" s="668"/>
      <c r="D101" s="668"/>
      <c r="E101" s="668"/>
      <c r="F101" s="668"/>
    </row>
    <row r="102" spans="1:6" ht="22.5">
      <c r="A102" s="669" t="s">
        <v>322</v>
      </c>
      <c r="B102" s="669"/>
      <c r="C102" s="669"/>
      <c r="D102" s="669"/>
      <c r="E102" s="669"/>
      <c r="F102" s="669"/>
    </row>
    <row r="103" spans="1:6" ht="22.5">
      <c r="A103" s="369" t="s">
        <v>314</v>
      </c>
      <c r="B103" s="369"/>
      <c r="C103" s="369"/>
      <c r="D103" s="369"/>
      <c r="E103" s="369"/>
      <c r="F103" s="369"/>
    </row>
    <row r="104" spans="1:6" ht="22.5">
      <c r="A104" s="370" t="s">
        <v>36</v>
      </c>
      <c r="B104" s="371" t="s">
        <v>35</v>
      </c>
      <c r="C104" s="670" t="s">
        <v>315</v>
      </c>
      <c r="D104" s="671"/>
      <c r="E104" s="672" t="s">
        <v>38</v>
      </c>
      <c r="F104" s="671"/>
    </row>
    <row r="105" spans="1:6" ht="22.5">
      <c r="A105" s="376" t="s">
        <v>3</v>
      </c>
      <c r="B105" s="373"/>
      <c r="C105" s="402">
        <v>40000</v>
      </c>
      <c r="D105" s="403">
        <v>0</v>
      </c>
      <c r="E105" s="376"/>
      <c r="F105" s="377"/>
    </row>
    <row r="106" spans="1:6" ht="22.5">
      <c r="A106" s="372" t="s">
        <v>8</v>
      </c>
      <c r="B106" s="379"/>
      <c r="C106" s="380"/>
      <c r="D106" s="381"/>
      <c r="E106" s="380">
        <f>C105</f>
        <v>40000</v>
      </c>
      <c r="F106" s="404">
        <f>D105</f>
        <v>0</v>
      </c>
    </row>
    <row r="107" spans="1:6" ht="22.5">
      <c r="A107" s="372"/>
      <c r="B107" s="379"/>
      <c r="C107" s="380"/>
      <c r="D107" s="381"/>
      <c r="E107" s="383"/>
      <c r="F107" s="384"/>
    </row>
    <row r="108" spans="1:6" ht="22.5">
      <c r="A108" s="372"/>
      <c r="B108" s="379"/>
      <c r="C108" s="383"/>
      <c r="D108" s="381"/>
      <c r="E108" s="383"/>
      <c r="F108" s="384"/>
    </row>
    <row r="109" spans="1:6" ht="22.5">
      <c r="A109" s="372"/>
      <c r="B109" s="379"/>
      <c r="C109" s="380"/>
      <c r="D109" s="381"/>
      <c r="E109" s="383"/>
      <c r="F109" s="384"/>
    </row>
    <row r="110" spans="1:6" ht="22.5">
      <c r="A110" s="372"/>
      <c r="B110" s="379"/>
      <c r="C110" s="380"/>
      <c r="D110" s="381"/>
      <c r="E110" s="383"/>
      <c r="F110" s="405"/>
    </row>
    <row r="111" spans="1:6" ht="22.5">
      <c r="A111" s="372"/>
      <c r="B111" s="379"/>
      <c r="C111" s="380"/>
      <c r="D111" s="381"/>
      <c r="E111" s="380"/>
      <c r="F111" s="384"/>
    </row>
    <row r="112" spans="1:6" ht="22.5">
      <c r="A112" s="372"/>
      <c r="B112" s="379"/>
      <c r="C112" s="372"/>
      <c r="D112" s="381"/>
      <c r="E112" s="380"/>
      <c r="F112" s="384"/>
    </row>
    <row r="113" spans="1:6" ht="22.5">
      <c r="A113" s="372"/>
      <c r="B113" s="379"/>
      <c r="C113" s="372"/>
      <c r="D113" s="381"/>
      <c r="E113" s="380"/>
      <c r="F113" s="384"/>
    </row>
    <row r="114" spans="1:6" ht="22.5">
      <c r="A114" s="386"/>
      <c r="B114" s="387"/>
      <c r="C114" s="388"/>
      <c r="D114" s="389"/>
      <c r="E114" s="390"/>
      <c r="F114" s="389"/>
    </row>
    <row r="115" spans="1:6" ht="22.5">
      <c r="A115" s="395"/>
      <c r="B115" s="392"/>
      <c r="C115" s="406"/>
      <c r="D115" s="381"/>
      <c r="E115" s="394"/>
      <c r="F115" s="384"/>
    </row>
    <row r="116" spans="1:6" ht="22.5">
      <c r="A116" s="391" t="s">
        <v>323</v>
      </c>
      <c r="B116" s="392"/>
      <c r="C116" s="393"/>
      <c r="D116" s="381"/>
      <c r="E116" s="394"/>
      <c r="F116" s="384"/>
    </row>
    <row r="117" spans="1:6" ht="22.5">
      <c r="A117" s="673" t="s">
        <v>14</v>
      </c>
      <c r="B117" s="674"/>
      <c r="C117" s="674"/>
      <c r="D117" s="674"/>
      <c r="E117" s="674"/>
      <c r="F117" s="675"/>
    </row>
    <row r="118" spans="1:6" ht="22.5">
      <c r="A118" s="395" t="s">
        <v>6</v>
      </c>
      <c r="B118" s="392"/>
      <c r="C118" s="393"/>
      <c r="D118" s="381"/>
      <c r="E118" s="394"/>
      <c r="F118" s="384"/>
    </row>
    <row r="119" spans="1:6" ht="22.5">
      <c r="A119" s="395"/>
      <c r="B119" s="392"/>
      <c r="C119" s="393"/>
      <c r="D119" s="381"/>
      <c r="E119" s="394"/>
      <c r="F119" s="384"/>
    </row>
    <row r="120" spans="1:6" ht="22.5">
      <c r="A120" s="395"/>
      <c r="B120" s="392"/>
      <c r="C120" s="393"/>
      <c r="D120" s="381"/>
      <c r="E120" s="394"/>
      <c r="F120" s="384"/>
    </row>
    <row r="121" spans="1:6" ht="22.5">
      <c r="A121" s="395" t="s">
        <v>320</v>
      </c>
      <c r="B121" s="393"/>
      <c r="C121" s="393"/>
      <c r="D121" s="381"/>
      <c r="E121" s="393"/>
      <c r="F121" s="377"/>
    </row>
    <row r="122" spans="1:6" ht="22.5">
      <c r="A122" s="395"/>
      <c r="B122" s="393"/>
      <c r="C122" s="393"/>
      <c r="D122" s="381"/>
      <c r="E122" s="393"/>
      <c r="F122" s="377"/>
    </row>
    <row r="123" spans="1:6" ht="22.5">
      <c r="A123" s="395"/>
      <c r="B123" s="393"/>
      <c r="C123" s="393"/>
      <c r="D123" s="381"/>
      <c r="E123" s="393"/>
      <c r="F123" s="377"/>
    </row>
    <row r="124" spans="1:6" ht="22.5">
      <c r="A124" s="395"/>
      <c r="B124" s="393"/>
      <c r="C124" s="393"/>
      <c r="D124" s="381"/>
      <c r="E124" s="393"/>
      <c r="F124" s="377"/>
    </row>
    <row r="125" spans="1:6" ht="22.5">
      <c r="A125" s="395"/>
      <c r="B125" s="393"/>
      <c r="C125" s="393"/>
      <c r="D125" s="381"/>
      <c r="E125" s="393"/>
      <c r="F125" s="377"/>
    </row>
    <row r="126" spans="1:6" ht="22.5">
      <c r="A126" s="395"/>
      <c r="B126" s="393"/>
      <c r="C126" s="393"/>
      <c r="D126" s="381"/>
      <c r="E126" s="393"/>
      <c r="F126" s="377"/>
    </row>
    <row r="127" spans="1:6" ht="22.5">
      <c r="A127" s="386"/>
      <c r="B127" s="399"/>
      <c r="C127" s="399"/>
      <c r="D127" s="399"/>
      <c r="E127" s="399"/>
      <c r="F127" s="400"/>
    </row>
  </sheetData>
  <sheetProtection/>
  <mergeCells count="24">
    <mergeCell ref="A34:F34"/>
    <mergeCell ref="C38:D38"/>
    <mergeCell ref="E38:F38"/>
    <mergeCell ref="A51:F51"/>
    <mergeCell ref="A68:F68"/>
    <mergeCell ref="A69:F69"/>
    <mergeCell ref="C71:D71"/>
    <mergeCell ref="E71:F71"/>
    <mergeCell ref="C104:D104"/>
    <mergeCell ref="E104:F104"/>
    <mergeCell ref="A117:F117"/>
    <mergeCell ref="A100:F100"/>
    <mergeCell ref="A101:F101"/>
    <mergeCell ref="A102:F102"/>
    <mergeCell ref="A1:F1"/>
    <mergeCell ref="A84:F84"/>
    <mergeCell ref="A35:F35"/>
    <mergeCell ref="A36:F36"/>
    <mergeCell ref="A18:F18"/>
    <mergeCell ref="A2:F2"/>
    <mergeCell ref="A3:F3"/>
    <mergeCell ref="C5:D5"/>
    <mergeCell ref="E5:F5"/>
    <mergeCell ref="A67:F67"/>
  </mergeCells>
  <printOptions/>
  <pageMargins left="0.85" right="0.59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172"/>
  <sheetViews>
    <sheetView zoomScaleSheetLayoutView="96" zoomScalePageLayoutView="0" workbookViewId="0" topLeftCell="A140">
      <selection activeCell="K158" sqref="K158"/>
    </sheetView>
  </sheetViews>
  <sheetFormatPr defaultColWidth="9.140625" defaultRowHeight="21.75"/>
  <cols>
    <col min="1" max="1" width="49.28125" style="13" customWidth="1"/>
    <col min="2" max="2" width="11.140625" style="13" customWidth="1"/>
    <col min="3" max="3" width="15.57421875" style="13" customWidth="1"/>
    <col min="4" max="4" width="14.140625" style="13" customWidth="1"/>
    <col min="5" max="16384" width="9.140625" style="13" customWidth="1"/>
  </cols>
  <sheetData>
    <row r="1" spans="1:4" ht="22.5">
      <c r="A1" s="668" t="s">
        <v>376</v>
      </c>
      <c r="B1" s="668"/>
      <c r="C1" s="668"/>
      <c r="D1" s="668"/>
    </row>
    <row r="2" spans="1:4" ht="22.5">
      <c r="A2" s="668" t="s">
        <v>478</v>
      </c>
      <c r="B2" s="668"/>
      <c r="C2" s="668"/>
      <c r="D2" s="668"/>
    </row>
    <row r="3" spans="1:4" ht="22.5">
      <c r="A3" s="669" t="s">
        <v>322</v>
      </c>
      <c r="B3" s="669"/>
      <c r="C3" s="669"/>
      <c r="D3" s="669"/>
    </row>
    <row r="4" spans="1:4" ht="22.5">
      <c r="A4" s="369" t="s">
        <v>314</v>
      </c>
      <c r="B4" s="369"/>
      <c r="C4" s="369"/>
      <c r="D4" s="369"/>
    </row>
    <row r="5" spans="1:4" ht="22.5">
      <c r="A5" s="370" t="s">
        <v>36</v>
      </c>
      <c r="B5" s="371" t="s">
        <v>35</v>
      </c>
      <c r="C5" s="477" t="s">
        <v>315</v>
      </c>
      <c r="D5" s="477" t="s">
        <v>38</v>
      </c>
    </row>
    <row r="6" spans="1:4" ht="23.25">
      <c r="A6" s="453" t="s">
        <v>39</v>
      </c>
      <c r="B6" s="458"/>
      <c r="C6" s="509">
        <v>7675</v>
      </c>
      <c r="D6" s="376"/>
    </row>
    <row r="7" spans="1:4" ht="23.25">
      <c r="A7" s="102" t="s">
        <v>98</v>
      </c>
      <c r="B7" s="459"/>
      <c r="C7" s="508">
        <f>5436887.73</f>
        <v>5436887.73</v>
      </c>
      <c r="D7" s="383"/>
    </row>
    <row r="8" spans="1:4" ht="23.25">
      <c r="A8" s="102" t="s">
        <v>97</v>
      </c>
      <c r="B8" s="459"/>
      <c r="C8" s="508">
        <f>1936.2+357.61</f>
        <v>2293.81</v>
      </c>
      <c r="D8" s="383"/>
    </row>
    <row r="9" spans="1:4" ht="23.25">
      <c r="A9" s="102" t="s">
        <v>99</v>
      </c>
      <c r="B9" s="459"/>
      <c r="C9" s="508">
        <v>12889703.85</v>
      </c>
      <c r="D9" s="383"/>
    </row>
    <row r="10" spans="1:4" ht="23.25">
      <c r="A10" s="102" t="s">
        <v>100</v>
      </c>
      <c r="B10" s="478"/>
      <c r="C10" s="508">
        <f>116753.37+8766</f>
        <v>125519.37</v>
      </c>
      <c r="D10" s="478"/>
    </row>
    <row r="11" spans="1:4" ht="23.25">
      <c r="A11" s="102" t="s">
        <v>101</v>
      </c>
      <c r="B11" s="459"/>
      <c r="C11" s="508">
        <v>3038832.92</v>
      </c>
      <c r="D11" s="383"/>
    </row>
    <row r="12" spans="1:4" ht="23.25">
      <c r="A12" s="102" t="s">
        <v>170</v>
      </c>
      <c r="B12" s="459"/>
      <c r="C12" s="508">
        <v>6439383.26</v>
      </c>
      <c r="D12" s="454"/>
    </row>
    <row r="13" spans="1:4" ht="23.25">
      <c r="A13" s="102" t="s">
        <v>479</v>
      </c>
      <c r="B13" s="459"/>
      <c r="C13" s="508">
        <v>8145.43</v>
      </c>
      <c r="D13" s="454"/>
    </row>
    <row r="14" spans="1:4" ht="23.25">
      <c r="A14" s="110" t="s">
        <v>480</v>
      </c>
      <c r="B14" s="459"/>
      <c r="C14" s="508">
        <v>67541.51</v>
      </c>
      <c r="D14" s="454"/>
    </row>
    <row r="15" spans="1:4" ht="23.25">
      <c r="A15" s="510" t="s">
        <v>356</v>
      </c>
      <c r="B15" s="459"/>
      <c r="C15" s="507"/>
      <c r="D15" s="454">
        <v>1029962</v>
      </c>
    </row>
    <row r="16" spans="1:4" ht="23.25">
      <c r="A16" s="510" t="s">
        <v>481</v>
      </c>
      <c r="B16" s="459"/>
      <c r="C16" s="507"/>
      <c r="D16" s="454">
        <v>1543460</v>
      </c>
    </row>
    <row r="17" spans="1:4" ht="23.25">
      <c r="A17" s="510" t="s">
        <v>372</v>
      </c>
      <c r="B17" s="459"/>
      <c r="C17" s="103"/>
      <c r="D17" s="454">
        <v>13367993.73</v>
      </c>
    </row>
    <row r="18" spans="1:4" ht="23.25">
      <c r="A18" s="510" t="s">
        <v>105</v>
      </c>
      <c r="B18" s="459"/>
      <c r="C18" s="103"/>
      <c r="D18" s="454">
        <v>10202558.85</v>
      </c>
    </row>
    <row r="19" spans="1:4" ht="23.25">
      <c r="A19" s="510" t="s">
        <v>482</v>
      </c>
      <c r="B19" s="459"/>
      <c r="C19" s="103"/>
      <c r="D19" s="454">
        <v>1872008.3</v>
      </c>
    </row>
    <row r="20" spans="1:6" ht="22.5">
      <c r="A20" s="386"/>
      <c r="B20" s="387"/>
      <c r="C20" s="512">
        <f>SUM(C6:C19)</f>
        <v>28015982.88</v>
      </c>
      <c r="D20" s="513">
        <f>SUM(D12:D19)</f>
        <v>28015982.88</v>
      </c>
      <c r="F20" s="511"/>
    </row>
    <row r="21" spans="1:4" ht="22.5">
      <c r="A21" s="395"/>
      <c r="B21" s="392"/>
      <c r="C21" s="460"/>
      <c r="D21" s="462"/>
    </row>
    <row r="22" spans="1:4" ht="22.5">
      <c r="A22" s="391" t="s">
        <v>323</v>
      </c>
      <c r="B22" s="392"/>
      <c r="C22" s="393"/>
      <c r="D22" s="463"/>
    </row>
    <row r="23" spans="1:6" ht="22.5">
      <c r="A23" s="673" t="s">
        <v>483</v>
      </c>
      <c r="B23" s="674"/>
      <c r="C23" s="674"/>
      <c r="D23" s="675"/>
      <c r="E23" s="461"/>
      <c r="F23" s="461"/>
    </row>
    <row r="24" spans="1:4" ht="22.5">
      <c r="A24" s="395"/>
      <c r="B24" s="392"/>
      <c r="C24" s="393"/>
      <c r="D24" s="463"/>
    </row>
    <row r="25" spans="1:4" ht="22.5">
      <c r="A25" s="395"/>
      <c r="B25" s="392"/>
      <c r="C25" s="393"/>
      <c r="D25" s="463"/>
    </row>
    <row r="26" spans="1:4" ht="22.5">
      <c r="A26" s="395"/>
      <c r="B26" s="392"/>
      <c r="C26" s="393"/>
      <c r="D26" s="463"/>
    </row>
    <row r="27" spans="1:4" ht="22.5">
      <c r="A27" s="395" t="s">
        <v>320</v>
      </c>
      <c r="B27" s="393"/>
      <c r="C27" s="393"/>
      <c r="D27" s="377"/>
    </row>
    <row r="28" spans="1:4" ht="22.5">
      <c r="A28" s="395"/>
      <c r="B28" s="393"/>
      <c r="C28" s="393"/>
      <c r="D28" s="377"/>
    </row>
    <row r="29" spans="1:4" ht="22.5">
      <c r="A29" s="395"/>
      <c r="B29" s="393"/>
      <c r="C29" s="393"/>
      <c r="D29" s="377"/>
    </row>
    <row r="30" spans="1:4" ht="22.5">
      <c r="A30" s="395"/>
      <c r="B30" s="393"/>
      <c r="C30" s="393"/>
      <c r="D30" s="377"/>
    </row>
    <row r="31" spans="1:4" ht="22.5">
      <c r="A31" s="395"/>
      <c r="B31" s="393"/>
      <c r="C31" s="393"/>
      <c r="D31" s="377"/>
    </row>
    <row r="32" spans="1:4" ht="22.5">
      <c r="A32" s="395"/>
      <c r="B32" s="393"/>
      <c r="C32" s="393"/>
      <c r="D32" s="377"/>
    </row>
    <row r="33" spans="1:4" ht="22.5">
      <c r="A33" s="386"/>
      <c r="B33" s="399"/>
      <c r="C33" s="399"/>
      <c r="D33" s="400"/>
    </row>
    <row r="37" spans="1:4" ht="22.5">
      <c r="A37" s="668" t="s">
        <v>484</v>
      </c>
      <c r="B37" s="668"/>
      <c r="C37" s="668"/>
      <c r="D37" s="668"/>
    </row>
    <row r="38" spans="1:4" ht="22.5">
      <c r="A38" s="668" t="s">
        <v>478</v>
      </c>
      <c r="B38" s="668"/>
      <c r="C38" s="668"/>
      <c r="D38" s="668"/>
    </row>
    <row r="39" spans="1:4" ht="22.5">
      <c r="A39" s="669" t="s">
        <v>322</v>
      </c>
      <c r="B39" s="669"/>
      <c r="C39" s="669"/>
      <c r="D39" s="669"/>
    </row>
    <row r="40" spans="1:4" ht="22.5">
      <c r="A40" s="369" t="s">
        <v>314</v>
      </c>
      <c r="B40" s="369"/>
      <c r="C40" s="369"/>
      <c r="D40" s="369"/>
    </row>
    <row r="41" spans="1:4" ht="22.5">
      <c r="A41" s="370" t="s">
        <v>36</v>
      </c>
      <c r="B41" s="371" t="s">
        <v>35</v>
      </c>
      <c r="C41" s="477" t="s">
        <v>315</v>
      </c>
      <c r="D41" s="477" t="s">
        <v>38</v>
      </c>
    </row>
    <row r="42" spans="1:4" ht="23.25">
      <c r="A42" s="453" t="s">
        <v>49</v>
      </c>
      <c r="B42" s="458"/>
      <c r="C42" s="509">
        <v>67541.51</v>
      </c>
      <c r="D42" s="376"/>
    </row>
    <row r="43" spans="1:4" ht="23.25">
      <c r="A43" s="510" t="s">
        <v>41</v>
      </c>
      <c r="B43" s="459"/>
      <c r="C43" s="507"/>
      <c r="D43" s="454">
        <f>+C42</f>
        <v>67541.51</v>
      </c>
    </row>
    <row r="44" spans="1:4" ht="23.25">
      <c r="A44" s="510"/>
      <c r="B44" s="459"/>
      <c r="C44" s="507"/>
      <c r="D44" s="454"/>
    </row>
    <row r="45" spans="1:4" ht="23.25">
      <c r="A45" s="510"/>
      <c r="B45" s="459"/>
      <c r="C45" s="507"/>
      <c r="D45" s="454"/>
    </row>
    <row r="46" spans="1:4" ht="23.25">
      <c r="A46" s="510"/>
      <c r="B46" s="459"/>
      <c r="C46" s="507"/>
      <c r="D46" s="454"/>
    </row>
    <row r="47" spans="1:4" ht="23.25">
      <c r="A47" s="510"/>
      <c r="B47" s="459"/>
      <c r="C47" s="507"/>
      <c r="D47" s="454"/>
    </row>
    <row r="48" spans="1:4" ht="23.25">
      <c r="A48" s="510"/>
      <c r="B48" s="459"/>
      <c r="C48" s="507"/>
      <c r="D48" s="454"/>
    </row>
    <row r="49" spans="1:4" ht="23.25">
      <c r="A49" s="510"/>
      <c r="B49" s="459"/>
      <c r="C49" s="507"/>
      <c r="D49" s="454"/>
    </row>
    <row r="50" spans="1:4" ht="23.25">
      <c r="A50" s="510"/>
      <c r="B50" s="459"/>
      <c r="C50" s="507"/>
      <c r="D50" s="454"/>
    </row>
    <row r="51" spans="1:4" ht="22.5">
      <c r="A51" s="386"/>
      <c r="B51" s="387"/>
      <c r="C51" s="512">
        <f>SUM(C42:C43)</f>
        <v>67541.51</v>
      </c>
      <c r="D51" s="513">
        <f>SUM(D43:D43)</f>
        <v>67541.51</v>
      </c>
    </row>
    <row r="52" spans="1:4" ht="22.5">
      <c r="A52" s="395"/>
      <c r="B52" s="392"/>
      <c r="C52" s="460"/>
      <c r="D52" s="462"/>
    </row>
    <row r="53" spans="1:4" ht="22.5">
      <c r="A53" s="391" t="s">
        <v>323</v>
      </c>
      <c r="B53" s="392"/>
      <c r="C53" s="393"/>
      <c r="D53" s="463"/>
    </row>
    <row r="54" spans="1:4" ht="22.5">
      <c r="A54" s="673" t="s">
        <v>485</v>
      </c>
      <c r="B54" s="674"/>
      <c r="C54" s="674"/>
      <c r="D54" s="675"/>
    </row>
    <row r="55" spans="1:4" ht="22.5">
      <c r="A55" s="395"/>
      <c r="B55" s="392"/>
      <c r="C55" s="393"/>
      <c r="D55" s="463"/>
    </row>
    <row r="56" spans="1:4" ht="22.5">
      <c r="A56" s="395"/>
      <c r="B56" s="392"/>
      <c r="C56" s="393"/>
      <c r="D56" s="463"/>
    </row>
    <row r="57" spans="1:4" ht="22.5">
      <c r="A57" s="395"/>
      <c r="B57" s="392"/>
      <c r="C57" s="393"/>
      <c r="D57" s="463"/>
    </row>
    <row r="58" spans="1:4" ht="22.5">
      <c r="A58" s="395" t="s">
        <v>320</v>
      </c>
      <c r="B58" s="393"/>
      <c r="C58" s="393"/>
      <c r="D58" s="377"/>
    </row>
    <row r="59" spans="1:4" ht="22.5">
      <c r="A59" s="395"/>
      <c r="B59" s="393"/>
      <c r="C59" s="393"/>
      <c r="D59" s="377"/>
    </row>
    <row r="60" spans="1:4" ht="22.5">
      <c r="A60" s="395"/>
      <c r="B60" s="393"/>
      <c r="C60" s="393"/>
      <c r="D60" s="377"/>
    </row>
    <row r="61" spans="1:4" ht="22.5">
      <c r="A61" s="395"/>
      <c r="B61" s="393"/>
      <c r="C61" s="393"/>
      <c r="D61" s="377"/>
    </row>
    <row r="62" spans="1:4" ht="22.5">
      <c r="A62" s="395"/>
      <c r="B62" s="393"/>
      <c r="C62" s="393"/>
      <c r="D62" s="377"/>
    </row>
    <row r="63" spans="1:4" ht="22.5">
      <c r="A63" s="395"/>
      <c r="B63" s="393"/>
      <c r="C63" s="393"/>
      <c r="D63" s="377"/>
    </row>
    <row r="64" spans="1:4" ht="22.5">
      <c r="A64" s="386"/>
      <c r="B64" s="399"/>
      <c r="C64" s="399"/>
      <c r="D64" s="400"/>
    </row>
    <row r="73" spans="1:4" ht="22.5">
      <c r="A73" s="668" t="s">
        <v>486</v>
      </c>
      <c r="B73" s="668"/>
      <c r="C73" s="668"/>
      <c r="D73" s="668"/>
    </row>
    <row r="74" spans="1:4" ht="22.5">
      <c r="A74" s="668" t="s">
        <v>478</v>
      </c>
      <c r="B74" s="668"/>
      <c r="C74" s="668"/>
      <c r="D74" s="668"/>
    </row>
    <row r="75" spans="1:4" ht="22.5">
      <c r="A75" s="669" t="s">
        <v>322</v>
      </c>
      <c r="B75" s="669"/>
      <c r="C75" s="669"/>
      <c r="D75" s="669"/>
    </row>
    <row r="76" spans="1:4" ht="22.5">
      <c r="A76" s="369" t="s">
        <v>314</v>
      </c>
      <c r="B76" s="369"/>
      <c r="C76" s="369"/>
      <c r="D76" s="369"/>
    </row>
    <row r="77" spans="1:4" ht="22.5">
      <c r="A77" s="370" t="s">
        <v>36</v>
      </c>
      <c r="B77" s="371" t="s">
        <v>35</v>
      </c>
      <c r="C77" s="477" t="s">
        <v>315</v>
      </c>
      <c r="D77" s="477" t="s">
        <v>38</v>
      </c>
    </row>
    <row r="78" spans="1:4" ht="23.25">
      <c r="A78" s="453" t="s">
        <v>41</v>
      </c>
      <c r="B78" s="458"/>
      <c r="C78" s="509">
        <v>68187.05</v>
      </c>
      <c r="D78" s="376"/>
    </row>
    <row r="79" spans="1:4" ht="23.25">
      <c r="A79" s="510" t="s">
        <v>49</v>
      </c>
      <c r="B79" s="459"/>
      <c r="C79" s="507"/>
      <c r="D79" s="454">
        <f>+C78</f>
        <v>68187.05</v>
      </c>
    </row>
    <row r="80" spans="1:4" ht="23.25">
      <c r="A80" s="510"/>
      <c r="B80" s="459"/>
      <c r="C80" s="507"/>
      <c r="D80" s="454"/>
    </row>
    <row r="81" spans="1:4" ht="23.25">
      <c r="A81" s="510"/>
      <c r="B81" s="459"/>
      <c r="C81" s="507"/>
      <c r="D81" s="454"/>
    </row>
    <row r="82" spans="1:4" ht="23.25">
      <c r="A82" s="510"/>
      <c r="B82" s="459"/>
      <c r="C82" s="507"/>
      <c r="D82" s="454"/>
    </row>
    <row r="83" spans="1:4" ht="23.25">
      <c r="A83" s="510"/>
      <c r="B83" s="459"/>
      <c r="C83" s="507"/>
      <c r="D83" s="454"/>
    </row>
    <row r="84" spans="1:4" ht="23.25">
      <c r="A84" s="510"/>
      <c r="B84" s="459"/>
      <c r="C84" s="507"/>
      <c r="D84" s="454"/>
    </row>
    <row r="85" spans="1:4" ht="23.25">
      <c r="A85" s="510"/>
      <c r="B85" s="459"/>
      <c r="C85" s="507"/>
      <c r="D85" s="454"/>
    </row>
    <row r="86" spans="1:4" ht="23.25">
      <c r="A86" s="510"/>
      <c r="B86" s="459"/>
      <c r="C86" s="507"/>
      <c r="D86" s="454"/>
    </row>
    <row r="87" spans="1:4" ht="22.5">
      <c r="A87" s="386"/>
      <c r="B87" s="387"/>
      <c r="C87" s="512">
        <f>SUM(C78:C79)</f>
        <v>68187.05</v>
      </c>
      <c r="D87" s="513">
        <f>SUM(D79:D79)</f>
        <v>68187.05</v>
      </c>
    </row>
    <row r="88" spans="1:4" ht="22.5">
      <c r="A88" s="395"/>
      <c r="B88" s="392"/>
      <c r="C88" s="460"/>
      <c r="D88" s="462"/>
    </row>
    <row r="89" spans="1:4" ht="22.5">
      <c r="A89" s="391" t="s">
        <v>323</v>
      </c>
      <c r="B89" s="392"/>
      <c r="C89" s="393"/>
      <c r="D89" s="463"/>
    </row>
    <row r="90" spans="1:4" ht="22.5">
      <c r="A90" s="673" t="s">
        <v>487</v>
      </c>
      <c r="B90" s="674"/>
      <c r="C90" s="674"/>
      <c r="D90" s="675"/>
    </row>
    <row r="91" spans="1:4" ht="22.5">
      <c r="A91" s="395"/>
      <c r="B91" s="392"/>
      <c r="C91" s="393"/>
      <c r="D91" s="463"/>
    </row>
    <row r="92" spans="1:4" ht="22.5">
      <c r="A92" s="395"/>
      <c r="B92" s="392"/>
      <c r="C92" s="393"/>
      <c r="D92" s="463"/>
    </row>
    <row r="93" spans="1:4" ht="22.5">
      <c r="A93" s="395"/>
      <c r="B93" s="392"/>
      <c r="C93" s="393"/>
      <c r="D93" s="463"/>
    </row>
    <row r="94" spans="1:4" ht="22.5">
      <c r="A94" s="395" t="s">
        <v>320</v>
      </c>
      <c r="B94" s="393"/>
      <c r="C94" s="393"/>
      <c r="D94" s="377"/>
    </row>
    <row r="95" spans="1:4" ht="22.5">
      <c r="A95" s="395"/>
      <c r="B95" s="393"/>
      <c r="C95" s="393"/>
      <c r="D95" s="377"/>
    </row>
    <row r="96" spans="1:4" ht="22.5">
      <c r="A96" s="395"/>
      <c r="B96" s="393"/>
      <c r="C96" s="393"/>
      <c r="D96" s="377"/>
    </row>
    <row r="97" spans="1:4" ht="22.5">
      <c r="A97" s="395"/>
      <c r="B97" s="393"/>
      <c r="C97" s="393"/>
      <c r="D97" s="377"/>
    </row>
    <row r="98" spans="1:4" ht="22.5">
      <c r="A98" s="395"/>
      <c r="B98" s="393"/>
      <c r="C98" s="393"/>
      <c r="D98" s="377"/>
    </row>
    <row r="99" spans="1:4" ht="22.5">
      <c r="A99" s="395"/>
      <c r="B99" s="393"/>
      <c r="C99" s="393"/>
      <c r="D99" s="377"/>
    </row>
    <row r="100" spans="1:4" ht="22.5">
      <c r="A100" s="386"/>
      <c r="B100" s="399"/>
      <c r="C100" s="399"/>
      <c r="D100" s="400"/>
    </row>
    <row r="109" spans="1:4" ht="22.5">
      <c r="A109" s="668" t="s">
        <v>488</v>
      </c>
      <c r="B109" s="668"/>
      <c r="C109" s="668"/>
      <c r="D109" s="668"/>
    </row>
    <row r="110" spans="1:4" ht="22.5">
      <c r="A110" s="668" t="s">
        <v>478</v>
      </c>
      <c r="B110" s="668"/>
      <c r="C110" s="668"/>
      <c r="D110" s="668"/>
    </row>
    <row r="111" spans="1:4" ht="22.5">
      <c r="A111" s="669" t="s">
        <v>322</v>
      </c>
      <c r="B111" s="669"/>
      <c r="C111" s="669"/>
      <c r="D111" s="669"/>
    </row>
    <row r="112" spans="1:4" ht="22.5">
      <c r="A112" s="369" t="s">
        <v>314</v>
      </c>
      <c r="B112" s="369"/>
      <c r="C112" s="369"/>
      <c r="D112" s="369"/>
    </row>
    <row r="113" spans="1:4" ht="22.5">
      <c r="A113" s="370" t="s">
        <v>36</v>
      </c>
      <c r="B113" s="371" t="s">
        <v>35</v>
      </c>
      <c r="C113" s="477" t="s">
        <v>315</v>
      </c>
      <c r="D113" s="477" t="s">
        <v>38</v>
      </c>
    </row>
    <row r="114" spans="1:4" ht="23.25">
      <c r="A114" s="458" t="s">
        <v>489</v>
      </c>
      <c r="B114" s="458"/>
      <c r="C114" s="509">
        <v>113.52</v>
      </c>
      <c r="D114" s="376"/>
    </row>
    <row r="115" spans="1:4" ht="23.25">
      <c r="A115" s="510" t="s">
        <v>49</v>
      </c>
      <c r="B115" s="459"/>
      <c r="C115" s="507"/>
      <c r="D115" s="454">
        <f>+C114</f>
        <v>113.52</v>
      </c>
    </row>
    <row r="116" spans="1:4" ht="23.25">
      <c r="A116" s="510"/>
      <c r="B116" s="459"/>
      <c r="C116" s="507"/>
      <c r="D116" s="454"/>
    </row>
    <row r="117" spans="1:4" ht="23.25">
      <c r="A117" s="510"/>
      <c r="B117" s="459"/>
      <c r="C117" s="507"/>
      <c r="D117" s="454"/>
    </row>
    <row r="118" spans="1:4" ht="23.25">
      <c r="A118" s="510"/>
      <c r="B118" s="459"/>
      <c r="C118" s="507"/>
      <c r="D118" s="454"/>
    </row>
    <row r="119" spans="1:4" ht="23.25">
      <c r="A119" s="510"/>
      <c r="B119" s="459"/>
      <c r="C119" s="507"/>
      <c r="D119" s="454"/>
    </row>
    <row r="120" spans="1:4" ht="23.25">
      <c r="A120" s="510"/>
      <c r="B120" s="459"/>
      <c r="C120" s="507"/>
      <c r="D120" s="454"/>
    </row>
    <row r="121" spans="1:4" ht="23.25">
      <c r="A121" s="510"/>
      <c r="B121" s="459"/>
      <c r="C121" s="507"/>
      <c r="D121" s="454"/>
    </row>
    <row r="122" spans="1:4" ht="23.25">
      <c r="A122" s="510"/>
      <c r="B122" s="459"/>
      <c r="C122" s="507"/>
      <c r="D122" s="454"/>
    </row>
    <row r="123" spans="1:4" ht="22.5">
      <c r="A123" s="386"/>
      <c r="B123" s="387"/>
      <c r="C123" s="512">
        <f>SUM(C114:C115)</f>
        <v>113.52</v>
      </c>
      <c r="D123" s="513">
        <f>SUM(D115:D115)</f>
        <v>113.52</v>
      </c>
    </row>
    <row r="124" spans="1:4" ht="22.5">
      <c r="A124" s="395"/>
      <c r="B124" s="392"/>
      <c r="C124" s="460"/>
      <c r="D124" s="462"/>
    </row>
    <row r="125" spans="1:4" ht="22.5">
      <c r="A125" s="391" t="s">
        <v>323</v>
      </c>
      <c r="B125" s="392"/>
      <c r="C125" s="393"/>
      <c r="D125" s="463"/>
    </row>
    <row r="126" spans="1:4" ht="22.5">
      <c r="A126" s="673" t="s">
        <v>490</v>
      </c>
      <c r="B126" s="674"/>
      <c r="C126" s="674"/>
      <c r="D126" s="675"/>
    </row>
    <row r="127" spans="1:4" ht="22.5">
      <c r="A127" s="395"/>
      <c r="B127" s="392"/>
      <c r="C127" s="393"/>
      <c r="D127" s="463"/>
    </row>
    <row r="128" spans="1:4" ht="22.5">
      <c r="A128" s="395"/>
      <c r="B128" s="392"/>
      <c r="C128" s="393"/>
      <c r="D128" s="463"/>
    </row>
    <row r="129" spans="1:4" ht="22.5">
      <c r="A129" s="395"/>
      <c r="B129" s="392"/>
      <c r="C129" s="393"/>
      <c r="D129" s="463"/>
    </row>
    <row r="130" spans="1:4" ht="22.5">
      <c r="A130" s="395" t="s">
        <v>320</v>
      </c>
      <c r="B130" s="393"/>
      <c r="C130" s="393"/>
      <c r="D130" s="377"/>
    </row>
    <row r="131" spans="1:4" ht="22.5">
      <c r="A131" s="395"/>
      <c r="B131" s="393"/>
      <c r="C131" s="393"/>
      <c r="D131" s="377"/>
    </row>
    <row r="132" spans="1:4" ht="22.5">
      <c r="A132" s="395"/>
      <c r="B132" s="393"/>
      <c r="C132" s="393"/>
      <c r="D132" s="377"/>
    </row>
    <row r="133" spans="1:4" ht="22.5">
      <c r="A133" s="395"/>
      <c r="B133" s="393"/>
      <c r="C133" s="393"/>
      <c r="D133" s="377"/>
    </row>
    <row r="134" spans="1:4" ht="22.5">
      <c r="A134" s="395"/>
      <c r="B134" s="393"/>
      <c r="C134" s="393"/>
      <c r="D134" s="377"/>
    </row>
    <row r="135" spans="1:4" ht="22.5">
      <c r="A135" s="395"/>
      <c r="B135" s="393"/>
      <c r="C135" s="393"/>
      <c r="D135" s="377"/>
    </row>
    <row r="136" spans="1:4" ht="22.5">
      <c r="A136" s="386"/>
      <c r="B136" s="399"/>
      <c r="C136" s="399"/>
      <c r="D136" s="400"/>
    </row>
    <row r="145" spans="1:4" ht="22.5">
      <c r="A145" s="668" t="s">
        <v>520</v>
      </c>
      <c r="B145" s="668"/>
      <c r="C145" s="668"/>
      <c r="D145" s="668"/>
    </row>
    <row r="146" spans="1:4" ht="22.5">
      <c r="A146" s="668" t="s">
        <v>478</v>
      </c>
      <c r="B146" s="668"/>
      <c r="C146" s="668"/>
      <c r="D146" s="668"/>
    </row>
    <row r="147" spans="1:4" ht="22.5">
      <c r="A147" s="669" t="s">
        <v>322</v>
      </c>
      <c r="B147" s="669"/>
      <c r="C147" s="669"/>
      <c r="D147" s="669"/>
    </row>
    <row r="148" spans="1:4" ht="22.5">
      <c r="A148" s="369" t="s">
        <v>314</v>
      </c>
      <c r="B148" s="369"/>
      <c r="C148" s="369"/>
      <c r="D148" s="369"/>
    </row>
    <row r="149" spans="1:4" ht="22.5">
      <c r="A149" s="370" t="s">
        <v>36</v>
      </c>
      <c r="B149" s="371" t="s">
        <v>35</v>
      </c>
      <c r="C149" s="477" t="s">
        <v>315</v>
      </c>
      <c r="D149" s="477" t="s">
        <v>38</v>
      </c>
    </row>
    <row r="150" spans="1:4" ht="23.25">
      <c r="A150" s="453" t="s">
        <v>521</v>
      </c>
      <c r="B150" s="458"/>
      <c r="C150" s="509">
        <v>260</v>
      </c>
      <c r="D150" s="376"/>
    </row>
    <row r="151" spans="1:4" ht="23.25">
      <c r="A151" s="510" t="s">
        <v>49</v>
      </c>
      <c r="B151" s="459"/>
      <c r="C151" s="507"/>
      <c r="D151" s="454">
        <f>+C150</f>
        <v>260</v>
      </c>
    </row>
    <row r="152" spans="1:4" ht="23.25">
      <c r="A152" s="510"/>
      <c r="B152" s="459"/>
      <c r="C152" s="507"/>
      <c r="D152" s="454"/>
    </row>
    <row r="153" spans="1:4" ht="23.25">
      <c r="A153" s="510"/>
      <c r="B153" s="459"/>
      <c r="C153" s="507"/>
      <c r="D153" s="454"/>
    </row>
    <row r="154" spans="1:4" ht="23.25">
      <c r="A154" s="510"/>
      <c r="B154" s="459"/>
      <c r="C154" s="507"/>
      <c r="D154" s="454"/>
    </row>
    <row r="155" spans="1:4" ht="23.25">
      <c r="A155" s="510"/>
      <c r="B155" s="459"/>
      <c r="C155" s="507"/>
      <c r="D155" s="454"/>
    </row>
    <row r="156" spans="1:4" ht="23.25">
      <c r="A156" s="510"/>
      <c r="B156" s="459"/>
      <c r="C156" s="507"/>
      <c r="D156" s="454"/>
    </row>
    <row r="157" spans="1:4" ht="23.25">
      <c r="A157" s="510"/>
      <c r="B157" s="459"/>
      <c r="C157" s="507"/>
      <c r="D157" s="454"/>
    </row>
    <row r="158" spans="1:4" ht="23.25">
      <c r="A158" s="510"/>
      <c r="B158" s="459"/>
      <c r="C158" s="507"/>
      <c r="D158" s="454"/>
    </row>
    <row r="159" spans="1:4" ht="22.5">
      <c r="A159" s="386"/>
      <c r="B159" s="387"/>
      <c r="C159" s="512">
        <f>SUM(C150:C151)</f>
        <v>260</v>
      </c>
      <c r="D159" s="513">
        <f>SUM(D151:D151)</f>
        <v>260</v>
      </c>
    </row>
    <row r="160" spans="1:4" ht="22.5">
      <c r="A160" s="395"/>
      <c r="B160" s="392"/>
      <c r="C160" s="460"/>
      <c r="D160" s="462"/>
    </row>
    <row r="161" spans="1:4" ht="22.5">
      <c r="A161" s="391" t="s">
        <v>323</v>
      </c>
      <c r="B161" s="392"/>
      <c r="C161" s="393"/>
      <c r="D161" s="463"/>
    </row>
    <row r="162" spans="1:4" ht="22.5">
      <c r="A162" s="673" t="s">
        <v>522</v>
      </c>
      <c r="B162" s="674"/>
      <c r="C162" s="674"/>
      <c r="D162" s="675"/>
    </row>
    <row r="163" spans="1:4" ht="22.5">
      <c r="A163" s="395"/>
      <c r="B163" s="392"/>
      <c r="C163" s="393"/>
      <c r="D163" s="463"/>
    </row>
    <row r="164" spans="1:4" ht="22.5">
      <c r="A164" s="395"/>
      <c r="B164" s="392"/>
      <c r="C164" s="393"/>
      <c r="D164" s="463"/>
    </row>
    <row r="165" spans="1:4" ht="22.5">
      <c r="A165" s="395"/>
      <c r="B165" s="392"/>
      <c r="C165" s="393"/>
      <c r="D165" s="463"/>
    </row>
    <row r="166" spans="1:4" ht="22.5">
      <c r="A166" s="395" t="s">
        <v>320</v>
      </c>
      <c r="B166" s="393"/>
      <c r="C166" s="393"/>
      <c r="D166" s="377"/>
    </row>
    <row r="167" spans="1:4" ht="22.5">
      <c r="A167" s="395"/>
      <c r="B167" s="393"/>
      <c r="C167" s="393"/>
      <c r="D167" s="377"/>
    </row>
    <row r="168" spans="1:4" ht="22.5">
      <c r="A168" s="395"/>
      <c r="B168" s="393"/>
      <c r="C168" s="393"/>
      <c r="D168" s="377"/>
    </row>
    <row r="169" spans="1:4" ht="22.5">
      <c r="A169" s="395"/>
      <c r="B169" s="393"/>
      <c r="C169" s="393"/>
      <c r="D169" s="377"/>
    </row>
    <row r="170" spans="1:4" ht="22.5">
      <c r="A170" s="395"/>
      <c r="B170" s="393"/>
      <c r="C170" s="393"/>
      <c r="D170" s="377"/>
    </row>
    <row r="171" spans="1:4" ht="22.5">
      <c r="A171" s="395"/>
      <c r="B171" s="393"/>
      <c r="C171" s="393"/>
      <c r="D171" s="377"/>
    </row>
    <row r="172" spans="1:4" ht="22.5">
      <c r="A172" s="386"/>
      <c r="B172" s="399"/>
      <c r="C172" s="399"/>
      <c r="D172" s="400"/>
    </row>
  </sheetData>
  <sheetProtection/>
  <mergeCells count="20">
    <mergeCell ref="A3:D3"/>
    <mergeCell ref="A23:D23"/>
    <mergeCell ref="A1:D1"/>
    <mergeCell ref="A2:D2"/>
    <mergeCell ref="A75:D75"/>
    <mergeCell ref="A90:D90"/>
    <mergeCell ref="A37:D37"/>
    <mergeCell ref="A38:D38"/>
    <mergeCell ref="A39:D39"/>
    <mergeCell ref="A54:D54"/>
    <mergeCell ref="A73:D73"/>
    <mergeCell ref="A74:D74"/>
    <mergeCell ref="A145:D145"/>
    <mergeCell ref="A146:D146"/>
    <mergeCell ref="A147:D147"/>
    <mergeCell ref="A162:D162"/>
    <mergeCell ref="A109:D109"/>
    <mergeCell ref="A110:D110"/>
    <mergeCell ref="A111:D111"/>
    <mergeCell ref="A126:D126"/>
  </mergeCells>
  <printOptions/>
  <pageMargins left="0.94" right="0.36" top="0.49" bottom="0.49" header="0.1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L30"/>
  <sheetViews>
    <sheetView zoomScalePageLayoutView="0" workbookViewId="0" topLeftCell="A22">
      <selection activeCell="J29" sqref="J29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  <col min="12" max="12" width="11.28125" style="0" customWidth="1"/>
  </cols>
  <sheetData>
    <row r="1" spans="1:12" s="1" customFormat="1" ht="23.25">
      <c r="A1" s="609" t="s">
        <v>523</v>
      </c>
      <c r="B1" s="610"/>
      <c r="C1" s="610"/>
      <c r="D1" s="610"/>
      <c r="E1" s="610"/>
      <c r="F1" s="610"/>
      <c r="G1" s="610" t="s">
        <v>160</v>
      </c>
      <c r="H1" s="610"/>
      <c r="I1" s="610"/>
      <c r="J1" s="611"/>
      <c r="K1" s="2"/>
      <c r="L1" s="2"/>
    </row>
    <row r="2" spans="1:10" s="1" customFormat="1" ht="23.25">
      <c r="A2" s="612" t="s">
        <v>136</v>
      </c>
      <c r="B2" s="613"/>
      <c r="C2" s="613"/>
      <c r="D2" s="613"/>
      <c r="E2" s="613"/>
      <c r="F2" s="613"/>
      <c r="G2" s="84" t="s">
        <v>161</v>
      </c>
      <c r="H2" s="2"/>
      <c r="I2" s="2"/>
      <c r="J2" s="45"/>
    </row>
    <row r="3" spans="1:10" s="1" customFormat="1" ht="23.25">
      <c r="A3" s="614"/>
      <c r="B3" s="615"/>
      <c r="C3" s="615"/>
      <c r="D3" s="615"/>
      <c r="E3" s="615"/>
      <c r="F3" s="615"/>
      <c r="G3" s="616" t="s">
        <v>162</v>
      </c>
      <c r="H3" s="616"/>
      <c r="I3" s="616"/>
      <c r="J3" s="617"/>
    </row>
    <row r="4" spans="1:10" s="1" customFormat="1" ht="23.25">
      <c r="A4" s="53"/>
      <c r="B4" s="54"/>
      <c r="C4" s="54"/>
      <c r="D4" s="54"/>
      <c r="E4" s="54"/>
      <c r="F4" s="54"/>
      <c r="G4" s="618" t="s">
        <v>54</v>
      </c>
      <c r="H4" s="619"/>
      <c r="I4" s="619"/>
      <c r="J4" s="620"/>
    </row>
    <row r="5" spans="1:10" s="1" customFormat="1" ht="23.25">
      <c r="A5" s="5" t="s">
        <v>572</v>
      </c>
      <c r="B5" s="2"/>
      <c r="C5" s="2"/>
      <c r="D5" s="2"/>
      <c r="E5" s="2"/>
      <c r="F5" s="45"/>
      <c r="G5" s="621">
        <v>13225159.04</v>
      </c>
      <c r="H5" s="622"/>
      <c r="I5" s="622"/>
      <c r="J5" s="623"/>
    </row>
    <row r="6" spans="1:10" s="1" customFormat="1" ht="23.25">
      <c r="A6" s="5" t="s">
        <v>138</v>
      </c>
      <c r="B6" s="601"/>
      <c r="C6" s="602"/>
      <c r="D6" s="602"/>
      <c r="E6" s="602"/>
      <c r="F6" s="603"/>
      <c r="G6" s="5"/>
      <c r="H6" s="2"/>
      <c r="I6" s="2"/>
      <c r="J6" s="93"/>
    </row>
    <row r="7" spans="1:10" s="1" customFormat="1" ht="23.25">
      <c r="A7" s="5"/>
      <c r="B7" s="599" t="s">
        <v>36</v>
      </c>
      <c r="C7" s="599"/>
      <c r="D7" s="56" t="s">
        <v>139</v>
      </c>
      <c r="E7" s="56" t="s">
        <v>52</v>
      </c>
      <c r="G7" s="58"/>
      <c r="H7" s="59"/>
      <c r="I7" s="59"/>
      <c r="J7" s="60"/>
    </row>
    <row r="8" spans="1:10" s="1" customFormat="1" ht="23.25">
      <c r="A8" s="8"/>
      <c r="B8" s="600"/>
      <c r="C8" s="600"/>
      <c r="D8" s="2"/>
      <c r="E8" s="7" t="s">
        <v>92</v>
      </c>
      <c r="F8" s="61" t="s">
        <v>92</v>
      </c>
      <c r="G8" s="58"/>
      <c r="H8" s="62"/>
      <c r="I8" s="62"/>
      <c r="J8" s="63"/>
    </row>
    <row r="9" spans="1:10" s="1" customFormat="1" ht="23.25">
      <c r="A9" s="5" t="s">
        <v>140</v>
      </c>
      <c r="B9" s="2"/>
      <c r="C9" s="2"/>
      <c r="D9" s="2"/>
      <c r="E9" s="2"/>
      <c r="F9" s="45"/>
      <c r="G9" s="604"/>
      <c r="H9" s="605"/>
      <c r="I9" s="605"/>
      <c r="J9" s="606"/>
    </row>
    <row r="10" spans="1:10" s="1" customFormat="1" ht="23.25">
      <c r="A10" s="5"/>
      <c r="B10" s="599" t="s">
        <v>163</v>
      </c>
      <c r="C10" s="599"/>
      <c r="D10" s="2"/>
      <c r="E10" s="56" t="s">
        <v>139</v>
      </c>
      <c r="F10" s="57" t="s">
        <v>52</v>
      </c>
      <c r="G10" s="9"/>
      <c r="H10" s="4"/>
      <c r="I10" s="4"/>
      <c r="J10" s="65"/>
    </row>
    <row r="11" spans="1:10" s="1" customFormat="1" ht="23.25">
      <c r="A11" s="608" t="s">
        <v>280</v>
      </c>
      <c r="B11" s="602"/>
      <c r="C11" s="602"/>
      <c r="D11" s="602"/>
      <c r="E11" s="602"/>
      <c r="F11" s="603"/>
      <c r="G11" s="8"/>
      <c r="H11" s="10"/>
      <c r="I11" s="10"/>
      <c r="J11" s="271">
        <v>3290957.19</v>
      </c>
    </row>
    <row r="12" spans="1:10" s="1" customFormat="1" ht="23.25">
      <c r="A12" s="8"/>
      <c r="B12" s="595" t="s">
        <v>144</v>
      </c>
      <c r="C12" s="607"/>
      <c r="D12" s="2"/>
      <c r="E12" s="66" t="s">
        <v>145</v>
      </c>
      <c r="F12" s="67">
        <v>500</v>
      </c>
      <c r="G12" s="58"/>
      <c r="H12" s="62"/>
      <c r="I12" s="62"/>
      <c r="J12" s="68"/>
    </row>
    <row r="13" spans="1:10" s="1" customFormat="1" ht="23.25">
      <c r="A13" s="8"/>
      <c r="B13" s="595" t="s">
        <v>146</v>
      </c>
      <c r="C13" s="596"/>
      <c r="D13" s="2"/>
      <c r="E13" s="66" t="s">
        <v>147</v>
      </c>
      <c r="F13" s="67">
        <v>300</v>
      </c>
      <c r="G13" s="8"/>
      <c r="H13" s="10"/>
      <c r="I13" s="10"/>
      <c r="J13" s="11"/>
    </row>
    <row r="14" spans="1:10" s="1" customFormat="1" ht="23.25">
      <c r="A14" s="8"/>
      <c r="B14" s="595" t="s">
        <v>148</v>
      </c>
      <c r="C14" s="596"/>
      <c r="D14" s="2"/>
      <c r="E14" s="66" t="s">
        <v>149</v>
      </c>
      <c r="F14" s="67">
        <v>391.82</v>
      </c>
      <c r="G14" s="8"/>
      <c r="H14" s="10"/>
      <c r="I14" s="10"/>
      <c r="J14" s="63"/>
    </row>
    <row r="15" spans="1:10" s="1" customFormat="1" ht="23.25">
      <c r="A15" s="5"/>
      <c r="B15" s="595" t="s">
        <v>148</v>
      </c>
      <c r="C15" s="596"/>
      <c r="E15" s="66" t="s">
        <v>150</v>
      </c>
      <c r="F15" s="69">
        <v>2282.19</v>
      </c>
      <c r="J15" s="45"/>
    </row>
    <row r="16" spans="1:10" s="1" customFormat="1" ht="23.25">
      <c r="A16" s="5"/>
      <c r="B16" s="595" t="s">
        <v>151</v>
      </c>
      <c r="C16" s="596"/>
      <c r="E16" s="66" t="s">
        <v>152</v>
      </c>
      <c r="F16" s="69">
        <v>1060</v>
      </c>
      <c r="J16" s="45"/>
    </row>
    <row r="17" spans="1:10" s="1" customFormat="1" ht="23.25">
      <c r="A17" s="8"/>
      <c r="B17" s="595" t="s">
        <v>151</v>
      </c>
      <c r="C17" s="596"/>
      <c r="D17" s="2"/>
      <c r="E17" s="66" t="s">
        <v>153</v>
      </c>
      <c r="F17" s="67">
        <v>4950</v>
      </c>
      <c r="G17" s="58"/>
      <c r="H17" s="62"/>
      <c r="I17" s="62"/>
      <c r="J17" s="68"/>
    </row>
    <row r="18" spans="1:10" s="1" customFormat="1" ht="23.25">
      <c r="A18" s="8"/>
      <c r="B18" s="595" t="s">
        <v>154</v>
      </c>
      <c r="C18" s="596"/>
      <c r="D18" s="2"/>
      <c r="E18" s="66" t="s">
        <v>155</v>
      </c>
      <c r="F18" s="67">
        <v>2000</v>
      </c>
      <c r="G18" s="58"/>
      <c r="H18" s="62"/>
      <c r="I18" s="62"/>
      <c r="J18" s="68"/>
    </row>
    <row r="19" spans="1:10" s="1" customFormat="1" ht="23.25">
      <c r="A19" s="8"/>
      <c r="B19" s="597"/>
      <c r="C19" s="598"/>
      <c r="D19" s="2"/>
      <c r="E19" s="7"/>
      <c r="F19" s="12"/>
      <c r="G19" s="55"/>
      <c r="H19" s="70"/>
      <c r="I19" s="70"/>
      <c r="J19" s="63"/>
    </row>
    <row r="20" spans="1:10" s="1" customFormat="1" ht="23.25">
      <c r="A20" s="8"/>
      <c r="B20" s="597"/>
      <c r="C20" s="598"/>
      <c r="D20" s="2"/>
      <c r="E20" s="7"/>
      <c r="F20" s="12"/>
      <c r="G20" s="55"/>
      <c r="H20" s="70"/>
      <c r="I20" s="70"/>
      <c r="J20" s="63"/>
    </row>
    <row r="21" spans="1:10" s="1" customFormat="1" ht="23.25">
      <c r="A21" s="5" t="s">
        <v>330</v>
      </c>
      <c r="B21" s="2"/>
      <c r="C21" s="2"/>
      <c r="D21" s="2"/>
      <c r="E21" s="10"/>
      <c r="F21" s="45"/>
      <c r="G21" s="58"/>
      <c r="H21" s="62"/>
      <c r="I21" s="62"/>
      <c r="J21" s="63"/>
    </row>
    <row r="22" spans="1:10" s="1" customFormat="1" ht="23.25">
      <c r="A22" s="71"/>
      <c r="B22" s="72"/>
      <c r="C22" s="7"/>
      <c r="D22" s="2"/>
      <c r="E22" s="2"/>
      <c r="F22" s="12"/>
      <c r="G22" s="58"/>
      <c r="H22" s="62"/>
      <c r="I22" s="62"/>
      <c r="J22" s="63"/>
    </row>
    <row r="23" spans="1:10" s="1" customFormat="1" ht="23.25">
      <c r="A23" s="5"/>
      <c r="B23" s="7" t="s">
        <v>92</v>
      </c>
      <c r="C23" s="7"/>
      <c r="D23" s="2"/>
      <c r="E23" s="2"/>
      <c r="F23" s="12"/>
      <c r="G23" s="58"/>
      <c r="H23" s="62"/>
      <c r="I23" s="62"/>
      <c r="J23" s="68"/>
    </row>
    <row r="24" spans="1:12" s="1" customFormat="1" ht="23.25">
      <c r="A24" s="6" t="s">
        <v>573</v>
      </c>
      <c r="B24" s="3"/>
      <c r="C24" s="3"/>
      <c r="D24" s="3"/>
      <c r="E24" s="3"/>
      <c r="F24" s="73"/>
      <c r="G24" s="592">
        <f>G5-J11-J21</f>
        <v>9934201.85</v>
      </c>
      <c r="H24" s="593"/>
      <c r="I24" s="593"/>
      <c r="J24" s="594"/>
      <c r="L24" s="91">
        <f>G24-งบทดลอง1!F9</f>
        <v>0</v>
      </c>
    </row>
    <row r="25" spans="1:12" s="1" customFormat="1" ht="23.25">
      <c r="A25" s="74"/>
      <c r="B25" s="75"/>
      <c r="C25" s="75"/>
      <c r="D25" s="75"/>
      <c r="E25" s="75"/>
      <c r="F25" s="76"/>
      <c r="G25" s="77"/>
      <c r="H25" s="78"/>
      <c r="I25" s="78"/>
      <c r="J25" s="79"/>
      <c r="K25" s="2"/>
      <c r="L25" s="2"/>
    </row>
    <row r="26" spans="1:12" s="1" customFormat="1" ht="23.25">
      <c r="A26" s="80" t="s">
        <v>157</v>
      </c>
      <c r="B26" s="81"/>
      <c r="C26" s="81"/>
      <c r="D26" s="81"/>
      <c r="E26" s="2"/>
      <c r="F26" s="81"/>
      <c r="G26" s="81"/>
      <c r="H26" s="81"/>
      <c r="I26" s="81"/>
      <c r="J26" s="82"/>
      <c r="K26" s="2"/>
      <c r="L26" s="2"/>
    </row>
    <row r="27" spans="1:12" s="1" customFormat="1" ht="23.25">
      <c r="A27" s="9" t="s">
        <v>158</v>
      </c>
      <c r="B27" s="4"/>
      <c r="C27" s="4"/>
      <c r="D27" s="4"/>
      <c r="E27" s="81"/>
      <c r="F27" s="4"/>
      <c r="G27" s="4"/>
      <c r="H27" s="4"/>
      <c r="I27" s="4"/>
      <c r="J27" s="47"/>
      <c r="K27" s="2"/>
      <c r="L27" s="2"/>
    </row>
    <row r="28" spans="1:12" s="1" customFormat="1" ht="23.25">
      <c r="A28" s="9" t="s">
        <v>159</v>
      </c>
      <c r="B28" s="4"/>
      <c r="C28" s="4"/>
      <c r="D28" s="4"/>
      <c r="E28" s="4"/>
      <c r="F28" s="4"/>
      <c r="G28" s="4"/>
      <c r="H28" s="4"/>
      <c r="I28" s="4"/>
      <c r="J28" s="47"/>
      <c r="K28" s="4"/>
      <c r="L28" s="4"/>
    </row>
    <row r="29" spans="1:12" s="1" customFormat="1" ht="23.25">
      <c r="A29" s="9" t="s">
        <v>493</v>
      </c>
      <c r="B29" s="4"/>
      <c r="C29" s="4"/>
      <c r="D29" s="4"/>
      <c r="E29" s="4"/>
      <c r="F29" s="4"/>
      <c r="G29" s="4"/>
      <c r="H29" s="4"/>
      <c r="I29" s="4"/>
      <c r="J29" s="47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3"/>
      <c r="K30" s="2"/>
      <c r="L30" s="2"/>
    </row>
    <row r="31" s="1" customFormat="1" ht="23.25"/>
  </sheetData>
  <sheetProtection/>
  <mergeCells count="22">
    <mergeCell ref="A1:F1"/>
    <mergeCell ref="G1:J1"/>
    <mergeCell ref="A2:F3"/>
    <mergeCell ref="G3:J3"/>
    <mergeCell ref="G4:J4"/>
    <mergeCell ref="G5:J5"/>
    <mergeCell ref="B7:C7"/>
    <mergeCell ref="B8:C8"/>
    <mergeCell ref="B6:F6"/>
    <mergeCell ref="G9:J9"/>
    <mergeCell ref="B10:C10"/>
    <mergeCell ref="B12:C12"/>
    <mergeCell ref="A11:F11"/>
    <mergeCell ref="G24:J24"/>
    <mergeCell ref="B17:C17"/>
    <mergeCell ref="B18:C18"/>
    <mergeCell ref="B13:C13"/>
    <mergeCell ref="B14:C14"/>
    <mergeCell ref="B15:C15"/>
    <mergeCell ref="B16:C16"/>
    <mergeCell ref="B19:C19"/>
    <mergeCell ref="B20:C20"/>
  </mergeCells>
  <printOptions/>
  <pageMargins left="0.75" right="0.2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28"/>
  <sheetViews>
    <sheetView zoomScalePageLayoutView="0" workbookViewId="0" topLeftCell="A13">
      <selection activeCell="L16" sqref="L16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3.8515625" style="0" customWidth="1"/>
  </cols>
  <sheetData>
    <row r="1" spans="1:12" s="1" customFormat="1" ht="23.25">
      <c r="A1" s="609" t="s">
        <v>523</v>
      </c>
      <c r="B1" s="610"/>
      <c r="C1" s="610"/>
      <c r="D1" s="610"/>
      <c r="E1" s="610"/>
      <c r="F1" s="610"/>
      <c r="G1" s="624" t="s">
        <v>135</v>
      </c>
      <c r="H1" s="624"/>
      <c r="I1" s="624"/>
      <c r="J1" s="625"/>
      <c r="K1" s="2"/>
      <c r="L1" s="2"/>
    </row>
    <row r="2" spans="1:10" s="1" customFormat="1" ht="23.25">
      <c r="A2" s="612" t="s">
        <v>136</v>
      </c>
      <c r="B2" s="613"/>
      <c r="C2" s="613"/>
      <c r="D2" s="613"/>
      <c r="E2" s="613"/>
      <c r="F2" s="613"/>
      <c r="G2" s="2"/>
      <c r="H2" s="2"/>
      <c r="I2" s="2"/>
      <c r="J2" s="45"/>
    </row>
    <row r="3" spans="1:10" s="1" customFormat="1" ht="23.25">
      <c r="A3" s="614"/>
      <c r="B3" s="615"/>
      <c r="C3" s="615"/>
      <c r="D3" s="615"/>
      <c r="E3" s="615"/>
      <c r="F3" s="615"/>
      <c r="G3" s="616" t="s">
        <v>137</v>
      </c>
      <c r="H3" s="616"/>
      <c r="I3" s="616"/>
      <c r="J3" s="617"/>
    </row>
    <row r="4" spans="1:10" s="1" customFormat="1" ht="23.25">
      <c r="A4" s="53"/>
      <c r="B4" s="54"/>
      <c r="C4" s="54"/>
      <c r="D4" s="54"/>
      <c r="E4" s="54"/>
      <c r="F4" s="54"/>
      <c r="G4" s="618" t="s">
        <v>54</v>
      </c>
      <c r="H4" s="619"/>
      <c r="I4" s="619"/>
      <c r="J4" s="620"/>
    </row>
    <row r="5" spans="1:10" s="1" customFormat="1" ht="23.25">
      <c r="A5" s="5" t="str">
        <f>'539-6-01276-5'!A5</f>
        <v>ยอดคงเหลือตามรายงานธนาคาร  ณ  วันที่  30  เมษายน  2556</v>
      </c>
      <c r="B5" s="2"/>
      <c r="C5" s="2"/>
      <c r="D5" s="2"/>
      <c r="E5" s="2"/>
      <c r="F5" s="45"/>
      <c r="G5" s="621">
        <v>19406825.62</v>
      </c>
      <c r="H5" s="622"/>
      <c r="I5" s="622"/>
      <c r="J5" s="623"/>
    </row>
    <row r="6" spans="1:10" s="1" customFormat="1" ht="23.25">
      <c r="A6" s="5" t="s">
        <v>138</v>
      </c>
      <c r="B6" s="283" t="s">
        <v>674</v>
      </c>
      <c r="C6" s="280"/>
      <c r="D6" s="280"/>
      <c r="E6" s="280"/>
      <c r="F6" s="281"/>
      <c r="G6" s="282"/>
      <c r="H6" s="2"/>
      <c r="I6" s="2"/>
      <c r="J6" s="93">
        <v>14.4</v>
      </c>
    </row>
    <row r="7" spans="1:10" s="1" customFormat="1" ht="23.25">
      <c r="A7" s="5"/>
      <c r="B7" s="599" t="s">
        <v>36</v>
      </c>
      <c r="C7" s="599"/>
      <c r="D7" s="56" t="s">
        <v>139</v>
      </c>
      <c r="E7" s="56" t="s">
        <v>52</v>
      </c>
      <c r="G7" s="58"/>
      <c r="H7" s="59"/>
      <c r="I7" s="59"/>
      <c r="J7" s="60"/>
    </row>
    <row r="8" spans="1:10" s="1" customFormat="1" ht="23.25">
      <c r="A8" s="9"/>
      <c r="B8" s="4"/>
      <c r="C8" s="56"/>
      <c r="D8" s="7"/>
      <c r="E8" s="273"/>
      <c r="G8" s="58"/>
      <c r="H8" s="59"/>
      <c r="I8" s="59"/>
      <c r="J8" s="284"/>
    </row>
    <row r="9" spans="1:10" s="1" customFormat="1" ht="23.25">
      <c r="A9" s="8"/>
      <c r="B9" s="600"/>
      <c r="C9" s="600"/>
      <c r="D9" s="2"/>
      <c r="E9" s="7"/>
      <c r="F9" s="61"/>
      <c r="G9" s="58"/>
      <c r="H9" s="62"/>
      <c r="I9" s="62"/>
      <c r="J9" s="63"/>
    </row>
    <row r="10" spans="1:10" s="1" customFormat="1" ht="23.25">
      <c r="A10" s="5" t="s">
        <v>140</v>
      </c>
      <c r="B10" s="2"/>
      <c r="C10" s="2"/>
      <c r="D10" s="2"/>
      <c r="E10" s="2"/>
      <c r="F10" s="45"/>
      <c r="G10" s="604"/>
      <c r="H10" s="605"/>
      <c r="I10" s="605"/>
      <c r="J10" s="606"/>
    </row>
    <row r="11" spans="1:10" s="1" customFormat="1" ht="23.25">
      <c r="A11" s="5"/>
      <c r="B11" s="626" t="s">
        <v>141</v>
      </c>
      <c r="C11" s="626"/>
      <c r="D11" s="64" t="s">
        <v>139</v>
      </c>
      <c r="E11" s="64" t="s">
        <v>52</v>
      </c>
      <c r="G11" s="9"/>
      <c r="H11" s="4"/>
      <c r="I11" s="4"/>
      <c r="J11" s="65">
        <f>รายละเอียด!C11</f>
        <v>47928.22</v>
      </c>
    </row>
    <row r="12" spans="1:10" s="1" customFormat="1" ht="23.25">
      <c r="A12" s="8"/>
      <c r="B12" s="595" t="s">
        <v>142</v>
      </c>
      <c r="C12" s="596"/>
      <c r="D12" s="2"/>
      <c r="E12" s="66" t="s">
        <v>143</v>
      </c>
      <c r="F12" s="67">
        <v>4950</v>
      </c>
      <c r="G12" s="8"/>
      <c r="H12" s="10"/>
      <c r="I12" s="10"/>
      <c r="J12" s="11"/>
    </row>
    <row r="13" spans="1:10" s="1" customFormat="1" ht="23.25">
      <c r="A13" s="8"/>
      <c r="B13" s="595" t="s">
        <v>144</v>
      </c>
      <c r="C13" s="607"/>
      <c r="D13" s="2"/>
      <c r="E13" s="66" t="s">
        <v>145</v>
      </c>
      <c r="F13" s="67">
        <v>500</v>
      </c>
      <c r="G13" s="58"/>
      <c r="H13" s="62"/>
      <c r="I13" s="62"/>
      <c r="J13" s="68"/>
    </row>
    <row r="14" spans="1:10" s="1" customFormat="1" ht="23.25">
      <c r="A14" s="8"/>
      <c r="B14" s="595" t="s">
        <v>146</v>
      </c>
      <c r="C14" s="596"/>
      <c r="D14" s="2"/>
      <c r="E14" s="66" t="s">
        <v>147</v>
      </c>
      <c r="F14" s="67">
        <v>300</v>
      </c>
      <c r="G14" s="8"/>
      <c r="H14" s="10"/>
      <c r="I14" s="10"/>
      <c r="J14" s="11"/>
    </row>
    <row r="15" spans="1:10" s="1" customFormat="1" ht="23.25">
      <c r="A15" s="8"/>
      <c r="B15" s="595" t="s">
        <v>151</v>
      </c>
      <c r="C15" s="596"/>
      <c r="D15" s="2"/>
      <c r="E15" s="66" t="s">
        <v>153</v>
      </c>
      <c r="F15" s="67">
        <v>4950</v>
      </c>
      <c r="G15" s="58"/>
      <c r="H15" s="62"/>
      <c r="I15" s="62"/>
      <c r="J15" s="68"/>
    </row>
    <row r="16" spans="1:10" s="1" customFormat="1" ht="23.25">
      <c r="A16" s="8"/>
      <c r="B16" s="595" t="s">
        <v>154</v>
      </c>
      <c r="C16" s="596"/>
      <c r="D16" s="2"/>
      <c r="E16" s="66" t="s">
        <v>155</v>
      </c>
      <c r="F16" s="67">
        <v>2000</v>
      </c>
      <c r="G16" s="58"/>
      <c r="H16" s="62"/>
      <c r="I16" s="62"/>
      <c r="J16" s="68"/>
    </row>
    <row r="17" spans="1:10" s="1" customFormat="1" ht="23.25">
      <c r="A17" s="8"/>
      <c r="B17" s="597"/>
      <c r="C17" s="598"/>
      <c r="D17" s="2"/>
      <c r="E17" s="7"/>
      <c r="F17" s="12"/>
      <c r="G17" s="55"/>
      <c r="H17" s="70"/>
      <c r="I17" s="70"/>
      <c r="J17" s="63"/>
    </row>
    <row r="18" spans="1:10" s="1" customFormat="1" ht="23.25">
      <c r="A18" s="8"/>
      <c r="B18" s="597"/>
      <c r="C18" s="598"/>
      <c r="D18" s="2"/>
      <c r="E18" s="7"/>
      <c r="F18" s="12"/>
      <c r="G18" s="55"/>
      <c r="H18" s="70"/>
      <c r="I18" s="70"/>
      <c r="J18" s="63"/>
    </row>
    <row r="19" spans="1:10" s="1" customFormat="1" ht="23.25">
      <c r="A19" s="5" t="s">
        <v>492</v>
      </c>
      <c r="B19" s="2"/>
      <c r="C19" s="2"/>
      <c r="D19" s="2"/>
      <c r="E19" s="10"/>
      <c r="F19" s="45"/>
      <c r="G19" s="58"/>
      <c r="H19" s="62"/>
      <c r="I19" s="62"/>
      <c r="J19" s="63">
        <v>52159.58</v>
      </c>
    </row>
    <row r="20" spans="1:10" s="1" customFormat="1" ht="23.25">
      <c r="A20" s="71"/>
      <c r="B20" s="72"/>
      <c r="C20" s="7"/>
      <c r="D20" s="2"/>
      <c r="E20" s="2"/>
      <c r="F20" s="12"/>
      <c r="G20" s="58"/>
      <c r="H20" s="62"/>
      <c r="I20" s="62"/>
      <c r="J20" s="63"/>
    </row>
    <row r="21" spans="1:10" s="1" customFormat="1" ht="23.25">
      <c r="A21" s="5"/>
      <c r="B21" s="7" t="s">
        <v>92</v>
      </c>
      <c r="C21" s="7"/>
      <c r="D21" s="2"/>
      <c r="E21" s="2"/>
      <c r="F21" s="12"/>
      <c r="G21" s="58"/>
      <c r="H21" s="62"/>
      <c r="I21" s="62"/>
      <c r="J21" s="68"/>
    </row>
    <row r="22" spans="1:12" s="1" customFormat="1" ht="23.25">
      <c r="A22" s="6" t="str">
        <f>'539-6-01276-5'!A24</f>
        <v>ยอดคงเหลือตามบัญชี ณ วันที่    30  เมษายน  2556</v>
      </c>
      <c r="B22" s="3"/>
      <c r="C22" s="3"/>
      <c r="D22" s="3"/>
      <c r="E22" s="3"/>
      <c r="F22" s="73"/>
      <c r="G22" s="592">
        <f>G5+J6-J11-J19</f>
        <v>19306752.220000003</v>
      </c>
      <c r="H22" s="593"/>
      <c r="I22" s="593"/>
      <c r="J22" s="594"/>
      <c r="K22" s="423">
        <f>G22-งบทดลอง1!$F$13</f>
        <v>0</v>
      </c>
      <c r="L22" s="91">
        <f>G22-งบทดลอง1!F13</f>
        <v>0</v>
      </c>
    </row>
    <row r="23" spans="1:12" s="1" customFormat="1" ht="23.25">
      <c r="A23" s="74"/>
      <c r="B23" s="75"/>
      <c r="C23" s="75"/>
      <c r="D23" s="75"/>
      <c r="E23" s="75"/>
      <c r="F23" s="76"/>
      <c r="G23" s="77"/>
      <c r="H23" s="78"/>
      <c r="I23" s="78"/>
      <c r="J23" s="79"/>
      <c r="K23" s="2"/>
      <c r="L23" s="2"/>
    </row>
    <row r="24" spans="1:12" s="1" customFormat="1" ht="23.25">
      <c r="A24" s="80" t="s">
        <v>157</v>
      </c>
      <c r="B24" s="81"/>
      <c r="C24" s="81"/>
      <c r="D24" s="81"/>
      <c r="E24" s="2"/>
      <c r="F24" s="81"/>
      <c r="G24" s="81"/>
      <c r="H24" s="81"/>
      <c r="I24" s="81"/>
      <c r="J24" s="82"/>
      <c r="K24" s="2"/>
      <c r="L24" s="2"/>
    </row>
    <row r="25" spans="1:12" s="1" customFormat="1" ht="23.25">
      <c r="A25" s="9" t="s">
        <v>158</v>
      </c>
      <c r="B25" s="4"/>
      <c r="C25" s="4"/>
      <c r="D25" s="4"/>
      <c r="E25" s="81"/>
      <c r="F25" s="4"/>
      <c r="G25" s="4"/>
      <c r="H25" s="4"/>
      <c r="I25" s="4"/>
      <c r="J25" s="47"/>
      <c r="K25" s="2"/>
      <c r="L25" s="2"/>
    </row>
    <row r="26" spans="1:12" s="1" customFormat="1" ht="23.25">
      <c r="A26" s="9" t="s">
        <v>159</v>
      </c>
      <c r="B26" s="4"/>
      <c r="C26" s="4"/>
      <c r="D26" s="4"/>
      <c r="E26" s="4"/>
      <c r="F26" s="4"/>
      <c r="G26" s="4"/>
      <c r="H26" s="4"/>
      <c r="I26" s="4"/>
      <c r="J26" s="47"/>
      <c r="K26" s="4"/>
      <c r="L26" s="4"/>
    </row>
    <row r="27" spans="1:12" s="1" customFormat="1" ht="23.25">
      <c r="A27" s="9" t="s">
        <v>493</v>
      </c>
      <c r="B27" s="4"/>
      <c r="C27" s="4"/>
      <c r="D27" s="4"/>
      <c r="E27" s="4"/>
      <c r="F27" s="4"/>
      <c r="G27" s="4"/>
      <c r="H27" s="4"/>
      <c r="I27" s="4"/>
      <c r="J27" s="47"/>
      <c r="K27" s="4"/>
      <c r="L27" s="4"/>
    </row>
    <row r="28" spans="1:12" s="1" customFormat="1" ht="23.25">
      <c r="A28" s="6"/>
      <c r="B28" s="3"/>
      <c r="C28" s="3"/>
      <c r="D28" s="3"/>
      <c r="E28" s="3"/>
      <c r="F28" s="3"/>
      <c r="G28" s="3"/>
      <c r="H28" s="3"/>
      <c r="I28" s="3"/>
      <c r="J28" s="83"/>
      <c r="K28" s="2"/>
      <c r="L28" s="2"/>
    </row>
    <row r="29" s="1" customFormat="1" ht="23.25"/>
  </sheetData>
  <sheetProtection/>
  <mergeCells count="18">
    <mergeCell ref="B14:C14"/>
    <mergeCell ref="B17:C17"/>
    <mergeCell ref="B18:C18"/>
    <mergeCell ref="G22:J22"/>
    <mergeCell ref="B15:C15"/>
    <mergeCell ref="B16:C16"/>
    <mergeCell ref="B12:C12"/>
    <mergeCell ref="B13:C13"/>
    <mergeCell ref="G4:J4"/>
    <mergeCell ref="G5:J5"/>
    <mergeCell ref="B7:C7"/>
    <mergeCell ref="B9:C9"/>
    <mergeCell ref="A1:F1"/>
    <mergeCell ref="G1:J1"/>
    <mergeCell ref="A2:F3"/>
    <mergeCell ref="G3:J3"/>
    <mergeCell ref="G10:J10"/>
    <mergeCell ref="B11:C11"/>
  </mergeCells>
  <printOptions/>
  <pageMargins left="0.75" right="0.2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310"/>
  <sheetViews>
    <sheetView zoomScaleSheetLayoutView="100" zoomScalePageLayoutView="0" workbookViewId="0" topLeftCell="A1">
      <selection activeCell="F8" sqref="F8"/>
    </sheetView>
  </sheetViews>
  <sheetFormatPr defaultColWidth="9.140625" defaultRowHeight="21.75"/>
  <cols>
    <col min="1" max="1" width="18.00390625" style="85" customWidth="1"/>
    <col min="2" max="2" width="46.28125" style="85" customWidth="1"/>
    <col min="3" max="3" width="23.421875" style="85" customWidth="1"/>
    <col min="4" max="4" width="12.00390625" style="85" customWidth="1"/>
    <col min="5" max="16384" width="9.140625" style="85" customWidth="1"/>
  </cols>
  <sheetData>
    <row r="1" spans="1:7" ht="24">
      <c r="A1" s="627" t="s">
        <v>165</v>
      </c>
      <c r="B1" s="627"/>
      <c r="C1" s="627"/>
      <c r="D1" s="195"/>
      <c r="E1" s="195"/>
      <c r="F1" s="195"/>
      <c r="G1" s="195"/>
    </row>
    <row r="2" spans="1:7" ht="24">
      <c r="A2" s="7" t="s">
        <v>659</v>
      </c>
      <c r="B2" s="86" t="s">
        <v>668</v>
      </c>
      <c r="C2" s="515">
        <v>5000</v>
      </c>
      <c r="D2" s="195"/>
      <c r="E2" s="195"/>
      <c r="F2" s="195"/>
      <c r="G2" s="195"/>
    </row>
    <row r="3" spans="1:7" ht="24">
      <c r="A3" s="7" t="s">
        <v>660</v>
      </c>
      <c r="B3" s="86" t="s">
        <v>669</v>
      </c>
      <c r="C3" s="515">
        <v>3946.8</v>
      </c>
      <c r="D3" s="195"/>
      <c r="E3" s="195"/>
      <c r="F3" s="195"/>
      <c r="G3" s="195"/>
    </row>
    <row r="4" spans="1:7" ht="24">
      <c r="A4" s="7" t="s">
        <v>661</v>
      </c>
      <c r="B4" s="86" t="s">
        <v>670</v>
      </c>
      <c r="C4" s="515">
        <v>6336</v>
      </c>
      <c r="D4" s="195"/>
      <c r="E4" s="195"/>
      <c r="F4" s="195"/>
      <c r="G4" s="195"/>
    </row>
    <row r="5" spans="1:7" ht="24">
      <c r="A5" s="7" t="s">
        <v>662</v>
      </c>
      <c r="B5" s="86" t="s">
        <v>671</v>
      </c>
      <c r="C5" s="515">
        <v>3118.5</v>
      </c>
      <c r="D5" s="195"/>
      <c r="E5" s="195"/>
      <c r="F5" s="195"/>
      <c r="G5" s="195"/>
    </row>
    <row r="6" spans="1:7" ht="24">
      <c r="A6" s="7" t="s">
        <v>663</v>
      </c>
      <c r="B6" s="86" t="s">
        <v>671</v>
      </c>
      <c r="C6" s="515">
        <v>9900</v>
      </c>
      <c r="D6" s="195"/>
      <c r="E6" s="195"/>
      <c r="F6" s="195"/>
      <c r="G6" s="195"/>
    </row>
    <row r="7" spans="1:7" ht="24">
      <c r="A7" s="7" t="s">
        <v>664</v>
      </c>
      <c r="B7" s="86" t="s">
        <v>672</v>
      </c>
      <c r="C7" s="515">
        <v>12444</v>
      </c>
      <c r="D7" s="195"/>
      <c r="E7" s="195"/>
      <c r="F7" s="195"/>
      <c r="G7" s="195"/>
    </row>
    <row r="8" spans="1:7" ht="24">
      <c r="A8" s="7" t="s">
        <v>665</v>
      </c>
      <c r="B8" s="86" t="s">
        <v>673</v>
      </c>
      <c r="C8" s="515">
        <v>1584</v>
      </c>
      <c r="D8" s="195"/>
      <c r="E8" s="195"/>
      <c r="F8" s="195"/>
      <c r="G8" s="195"/>
    </row>
    <row r="9" spans="1:7" ht="24">
      <c r="A9" s="7" t="s">
        <v>666</v>
      </c>
      <c r="B9" s="86" t="s">
        <v>673</v>
      </c>
      <c r="C9" s="515">
        <v>1269.88</v>
      </c>
      <c r="D9" s="195"/>
      <c r="E9" s="195"/>
      <c r="F9" s="195"/>
      <c r="G9" s="195"/>
    </row>
    <row r="10" spans="1:7" ht="24">
      <c r="A10" s="7" t="s">
        <v>667</v>
      </c>
      <c r="B10" s="86" t="s">
        <v>673</v>
      </c>
      <c r="C10" s="515">
        <v>4329.04</v>
      </c>
      <c r="D10" s="195"/>
      <c r="E10" s="195"/>
      <c r="F10" s="195"/>
      <c r="G10" s="195"/>
    </row>
    <row r="11" spans="1:3" ht="32.25" customHeight="1" thickBot="1">
      <c r="A11" s="7"/>
      <c r="B11" s="516" t="s">
        <v>166</v>
      </c>
      <c r="C11" s="87">
        <f>SUM(C2:C10)</f>
        <v>47928.22</v>
      </c>
    </row>
    <row r="12" ht="24.75" thickTop="1">
      <c r="A12" s="7"/>
    </row>
    <row r="13" ht="24">
      <c r="A13" s="7"/>
    </row>
    <row r="14" ht="24">
      <c r="A14" s="7"/>
    </row>
    <row r="15" ht="24">
      <c r="A15" s="7"/>
    </row>
    <row r="16" ht="24">
      <c r="A16" s="7"/>
    </row>
    <row r="17" ht="24">
      <c r="A17" s="7"/>
    </row>
    <row r="18" ht="24">
      <c r="A18" s="7"/>
    </row>
    <row r="19" ht="24">
      <c r="A19" s="7"/>
    </row>
    <row r="20" ht="24">
      <c r="A20" s="7"/>
    </row>
    <row r="21" ht="24">
      <c r="A21" s="7"/>
    </row>
    <row r="22" ht="24">
      <c r="A22" s="7"/>
    </row>
    <row r="23" ht="24">
      <c r="A23" s="7"/>
    </row>
    <row r="24" ht="24">
      <c r="A24" s="7"/>
    </row>
    <row r="25" ht="24">
      <c r="A25" s="7"/>
    </row>
    <row r="26" ht="24">
      <c r="A26" s="7"/>
    </row>
    <row r="27" ht="24">
      <c r="A27" s="7"/>
    </row>
    <row r="28" ht="24">
      <c r="A28" s="7"/>
    </row>
    <row r="29" ht="24">
      <c r="A29" s="7"/>
    </row>
    <row r="30" ht="24">
      <c r="A30" s="7"/>
    </row>
    <row r="31" ht="24">
      <c r="A31" s="7"/>
    </row>
    <row r="32" ht="24">
      <c r="A32" s="7"/>
    </row>
    <row r="33" ht="24">
      <c r="A33" s="7"/>
    </row>
    <row r="34" ht="24">
      <c r="A34" s="7"/>
    </row>
    <row r="35" ht="24">
      <c r="A35" s="7"/>
    </row>
    <row r="36" ht="24">
      <c r="A36" s="7"/>
    </row>
    <row r="37" ht="24">
      <c r="A37" s="7"/>
    </row>
    <row r="38" ht="24">
      <c r="A38" s="7"/>
    </row>
    <row r="39" ht="24">
      <c r="A39" s="7"/>
    </row>
    <row r="40" ht="24">
      <c r="A40" s="7"/>
    </row>
    <row r="41" ht="24">
      <c r="A41" s="7"/>
    </row>
    <row r="42" ht="24">
      <c r="A42" s="7"/>
    </row>
    <row r="43" ht="24">
      <c r="A43" s="7"/>
    </row>
    <row r="44" ht="24">
      <c r="A44" s="7"/>
    </row>
    <row r="45" ht="24">
      <c r="A45" s="7"/>
    </row>
    <row r="46" ht="24">
      <c r="A46" s="7"/>
    </row>
    <row r="47" ht="24">
      <c r="A47" s="7"/>
    </row>
    <row r="48" ht="24">
      <c r="A48" s="7"/>
    </row>
    <row r="49" ht="24">
      <c r="A49" s="7"/>
    </row>
    <row r="50" ht="24">
      <c r="A50" s="7"/>
    </row>
    <row r="51" ht="24">
      <c r="A51" s="7"/>
    </row>
    <row r="52" ht="24">
      <c r="A52" s="7"/>
    </row>
    <row r="53" ht="24">
      <c r="A53" s="7"/>
    </row>
    <row r="54" ht="24">
      <c r="A54" s="7"/>
    </row>
    <row r="55" ht="24">
      <c r="A55" s="7"/>
    </row>
    <row r="56" ht="24">
      <c r="A56" s="7"/>
    </row>
    <row r="57" ht="24">
      <c r="A57" s="7"/>
    </row>
    <row r="58" ht="24">
      <c r="A58" s="7"/>
    </row>
    <row r="59" ht="24">
      <c r="A59" s="7"/>
    </row>
    <row r="60" ht="24">
      <c r="A60" s="7"/>
    </row>
    <row r="61" ht="24">
      <c r="A61" s="7"/>
    </row>
    <row r="62" ht="24">
      <c r="A62" s="7"/>
    </row>
    <row r="63" ht="24">
      <c r="A63" s="7"/>
    </row>
    <row r="64" ht="24">
      <c r="A64" s="7"/>
    </row>
    <row r="65" ht="24">
      <c r="A65" s="7"/>
    </row>
    <row r="66" ht="24">
      <c r="A66" s="7"/>
    </row>
    <row r="67" ht="24">
      <c r="A67" s="7"/>
    </row>
    <row r="68" ht="24">
      <c r="A68" s="7"/>
    </row>
    <row r="69" ht="24">
      <c r="A69" s="7"/>
    </row>
    <row r="70" ht="24">
      <c r="A70" s="7"/>
    </row>
    <row r="71" ht="24">
      <c r="A71" s="7"/>
    </row>
    <row r="72" ht="24">
      <c r="A72" s="7"/>
    </row>
    <row r="73" ht="24">
      <c r="A73" s="7"/>
    </row>
    <row r="74" ht="24">
      <c r="A74" s="7"/>
    </row>
    <row r="75" ht="24">
      <c r="A75" s="7"/>
    </row>
    <row r="76" ht="24">
      <c r="A76" s="7"/>
    </row>
    <row r="77" ht="24">
      <c r="A77" s="7"/>
    </row>
    <row r="78" ht="24">
      <c r="A78" s="7"/>
    </row>
    <row r="79" ht="24">
      <c r="A79" s="7"/>
    </row>
    <row r="80" ht="24">
      <c r="A80" s="7"/>
    </row>
    <row r="81" ht="24">
      <c r="A81" s="7"/>
    </row>
    <row r="82" ht="24">
      <c r="A82" s="7"/>
    </row>
    <row r="83" ht="24">
      <c r="A83" s="7"/>
    </row>
    <row r="84" ht="24">
      <c r="A84" s="7"/>
    </row>
    <row r="85" ht="24">
      <c r="A85" s="7"/>
    </row>
    <row r="86" ht="24">
      <c r="A86" s="7"/>
    </row>
    <row r="87" ht="24">
      <c r="A87" s="7"/>
    </row>
    <row r="88" ht="24">
      <c r="A88" s="7"/>
    </row>
    <row r="89" ht="24">
      <c r="A89" s="7"/>
    </row>
    <row r="90" ht="24">
      <c r="A90" s="7"/>
    </row>
    <row r="91" ht="24">
      <c r="A91" s="7"/>
    </row>
    <row r="92" ht="24">
      <c r="A92" s="7"/>
    </row>
    <row r="93" ht="24">
      <c r="A93" s="7"/>
    </row>
    <row r="94" ht="24">
      <c r="A94" s="7"/>
    </row>
    <row r="95" ht="24">
      <c r="A95" s="7"/>
    </row>
    <row r="96" ht="24">
      <c r="A96" s="7"/>
    </row>
    <row r="97" ht="24">
      <c r="A97" s="7"/>
    </row>
    <row r="98" ht="24">
      <c r="A98" s="7"/>
    </row>
    <row r="99" ht="24">
      <c r="A99" s="7"/>
    </row>
    <row r="100" ht="24">
      <c r="A100" s="7"/>
    </row>
    <row r="101" ht="24">
      <c r="A101" s="7"/>
    </row>
    <row r="102" ht="24">
      <c r="A102" s="7"/>
    </row>
    <row r="103" ht="24">
      <c r="A103" s="7"/>
    </row>
    <row r="104" ht="24">
      <c r="A104" s="7"/>
    </row>
    <row r="105" ht="24">
      <c r="A105" s="7"/>
    </row>
    <row r="106" ht="24">
      <c r="A106" s="7"/>
    </row>
    <row r="107" ht="24">
      <c r="A107" s="7"/>
    </row>
    <row r="108" ht="24">
      <c r="A108" s="7"/>
    </row>
    <row r="109" ht="24">
      <c r="A109" s="7"/>
    </row>
    <row r="110" ht="24">
      <c r="A110" s="7"/>
    </row>
    <row r="111" ht="24">
      <c r="A111" s="7"/>
    </row>
    <row r="112" ht="24">
      <c r="A112" s="7"/>
    </row>
    <row r="113" ht="24">
      <c r="A113" s="7"/>
    </row>
    <row r="114" ht="24">
      <c r="A114" s="7"/>
    </row>
    <row r="115" ht="24">
      <c r="A115" s="7"/>
    </row>
    <row r="116" ht="24">
      <c r="A116" s="7"/>
    </row>
    <row r="117" ht="24">
      <c r="A117" s="7"/>
    </row>
    <row r="118" ht="24">
      <c r="A118" s="7"/>
    </row>
    <row r="119" ht="24">
      <c r="A119" s="7"/>
    </row>
    <row r="120" ht="24">
      <c r="A120" s="7"/>
    </row>
    <row r="121" ht="24">
      <c r="A121" s="7"/>
    </row>
    <row r="122" ht="24">
      <c r="A122" s="7"/>
    </row>
    <row r="123" ht="24">
      <c r="A123" s="7"/>
    </row>
    <row r="124" ht="24">
      <c r="A124" s="7"/>
    </row>
    <row r="125" ht="24">
      <c r="A125" s="7"/>
    </row>
    <row r="126" ht="24">
      <c r="A126" s="7"/>
    </row>
    <row r="127" ht="24">
      <c r="A127" s="7"/>
    </row>
    <row r="128" ht="24">
      <c r="A128" s="7"/>
    </row>
    <row r="129" ht="24">
      <c r="A129" s="7"/>
    </row>
    <row r="130" ht="24">
      <c r="A130" s="7"/>
    </row>
    <row r="131" ht="24">
      <c r="A131" s="7"/>
    </row>
    <row r="132" ht="24">
      <c r="A132" s="7"/>
    </row>
    <row r="133" ht="24">
      <c r="A133" s="7"/>
    </row>
    <row r="134" ht="24">
      <c r="A134" s="7"/>
    </row>
    <row r="135" ht="24">
      <c r="A135" s="7"/>
    </row>
    <row r="136" ht="24">
      <c r="A136" s="7"/>
    </row>
    <row r="137" ht="24">
      <c r="A137" s="7"/>
    </row>
    <row r="138" ht="24">
      <c r="A138" s="7"/>
    </row>
    <row r="139" ht="24">
      <c r="A139" s="7"/>
    </row>
    <row r="140" ht="24">
      <c r="A140" s="7"/>
    </row>
    <row r="141" ht="24">
      <c r="A141" s="7"/>
    </row>
    <row r="142" ht="24">
      <c r="A142" s="7"/>
    </row>
    <row r="143" ht="24">
      <c r="A143" s="7"/>
    </row>
    <row r="144" ht="24">
      <c r="A144" s="7"/>
    </row>
    <row r="145" ht="24">
      <c r="A145" s="7"/>
    </row>
    <row r="146" ht="24">
      <c r="A146" s="7"/>
    </row>
    <row r="147" ht="24">
      <c r="A147" s="7"/>
    </row>
    <row r="148" ht="24">
      <c r="A148" s="7"/>
    </row>
    <row r="149" ht="24">
      <c r="A149" s="7"/>
    </row>
    <row r="150" ht="24">
      <c r="A150" s="7"/>
    </row>
    <row r="151" ht="24">
      <c r="A151" s="7"/>
    </row>
    <row r="152" ht="24">
      <c r="A152" s="7"/>
    </row>
    <row r="153" ht="24">
      <c r="A153" s="7"/>
    </row>
    <row r="154" ht="24">
      <c r="A154" s="7"/>
    </row>
    <row r="155" ht="24">
      <c r="A155" s="7"/>
    </row>
    <row r="156" ht="24">
      <c r="A156" s="7"/>
    </row>
    <row r="157" ht="24">
      <c r="A157" s="7"/>
    </row>
    <row r="158" ht="24">
      <c r="A158" s="7"/>
    </row>
    <row r="159" ht="24">
      <c r="A159" s="7"/>
    </row>
    <row r="160" ht="24">
      <c r="A160" s="7"/>
    </row>
    <row r="161" ht="24">
      <c r="A161" s="7"/>
    </row>
    <row r="162" ht="24">
      <c r="A162" s="7"/>
    </row>
    <row r="163" ht="24">
      <c r="A163" s="7"/>
    </row>
    <row r="164" ht="24">
      <c r="A164" s="7"/>
    </row>
    <row r="165" ht="24">
      <c r="A165" s="7"/>
    </row>
    <row r="166" ht="24">
      <c r="A166" s="7"/>
    </row>
    <row r="167" ht="24">
      <c r="A167" s="7"/>
    </row>
    <row r="168" ht="24">
      <c r="A168" s="7"/>
    </row>
    <row r="169" ht="24">
      <c r="A169" s="7"/>
    </row>
    <row r="170" ht="24">
      <c r="A170" s="7"/>
    </row>
    <row r="171" ht="24">
      <c r="A171" s="7"/>
    </row>
    <row r="172" ht="24">
      <c r="A172" s="7"/>
    </row>
    <row r="173" ht="24">
      <c r="A173" s="7"/>
    </row>
    <row r="174" ht="24">
      <c r="A174" s="7"/>
    </row>
    <row r="175" ht="24">
      <c r="A175" s="7"/>
    </row>
    <row r="176" ht="24">
      <c r="A176" s="7"/>
    </row>
    <row r="177" ht="24">
      <c r="A177" s="7"/>
    </row>
    <row r="178" ht="24">
      <c r="A178" s="7"/>
    </row>
    <row r="179" ht="24">
      <c r="A179" s="7"/>
    </row>
    <row r="180" ht="24">
      <c r="A180" s="7"/>
    </row>
    <row r="181" ht="24">
      <c r="A181" s="7"/>
    </row>
    <row r="182" ht="24">
      <c r="A182" s="7"/>
    </row>
    <row r="183" ht="24">
      <c r="A183" s="7"/>
    </row>
    <row r="184" ht="24">
      <c r="A184" s="7"/>
    </row>
    <row r="185" ht="24">
      <c r="A185" s="7"/>
    </row>
    <row r="186" ht="24">
      <c r="A186" s="7"/>
    </row>
    <row r="187" ht="24">
      <c r="A187" s="7"/>
    </row>
    <row r="188" ht="24">
      <c r="A188" s="7"/>
    </row>
    <row r="189" ht="24">
      <c r="A189" s="7"/>
    </row>
    <row r="190" ht="24">
      <c r="A190" s="7"/>
    </row>
    <row r="191" ht="24">
      <c r="A191" s="7"/>
    </row>
    <row r="192" ht="24">
      <c r="A192" s="7"/>
    </row>
    <row r="193" ht="24">
      <c r="A193" s="7"/>
    </row>
    <row r="194" ht="24">
      <c r="A194" s="7"/>
    </row>
    <row r="195" ht="24">
      <c r="A195" s="7"/>
    </row>
    <row r="196" ht="24">
      <c r="A196" s="7"/>
    </row>
    <row r="197" ht="24">
      <c r="A197" s="7"/>
    </row>
    <row r="198" ht="24">
      <c r="A198" s="7"/>
    </row>
    <row r="199" ht="24">
      <c r="A199" s="7"/>
    </row>
    <row r="200" ht="24">
      <c r="A200" s="7"/>
    </row>
    <row r="201" ht="24">
      <c r="A201" s="7"/>
    </row>
    <row r="202" ht="24">
      <c r="A202" s="7"/>
    </row>
    <row r="203" ht="24">
      <c r="A203" s="7"/>
    </row>
    <row r="204" ht="24">
      <c r="A204" s="7"/>
    </row>
    <row r="205" ht="24">
      <c r="A205" s="7"/>
    </row>
    <row r="206" ht="24">
      <c r="A206" s="7"/>
    </row>
    <row r="207" ht="24">
      <c r="A207" s="7"/>
    </row>
    <row r="208" ht="24">
      <c r="A208" s="7"/>
    </row>
    <row r="209" ht="24">
      <c r="A209" s="7"/>
    </row>
    <row r="210" ht="24">
      <c r="A210" s="7"/>
    </row>
    <row r="211" ht="24">
      <c r="A211" s="7"/>
    </row>
    <row r="212" ht="24">
      <c r="A212" s="7"/>
    </row>
    <row r="213" ht="24">
      <c r="A213" s="7"/>
    </row>
    <row r="214" ht="24">
      <c r="A214" s="7"/>
    </row>
    <row r="215" ht="24">
      <c r="A215" s="7"/>
    </row>
    <row r="216" ht="24">
      <c r="A216" s="7"/>
    </row>
    <row r="217" ht="24">
      <c r="A217" s="7"/>
    </row>
    <row r="218" ht="24">
      <c r="A218" s="7"/>
    </row>
    <row r="219" ht="24">
      <c r="A219" s="7"/>
    </row>
    <row r="220" ht="24">
      <c r="A220" s="7"/>
    </row>
    <row r="221" ht="24">
      <c r="A221" s="7"/>
    </row>
    <row r="222" ht="24">
      <c r="A222" s="7"/>
    </row>
    <row r="223" ht="24">
      <c r="A223" s="7"/>
    </row>
    <row r="224" ht="24">
      <c r="A224" s="7"/>
    </row>
    <row r="225" ht="24">
      <c r="A225" s="7"/>
    </row>
    <row r="226" ht="24">
      <c r="A226" s="7"/>
    </row>
    <row r="227" ht="24">
      <c r="A227" s="7"/>
    </row>
    <row r="228" ht="24">
      <c r="A228" s="7"/>
    </row>
    <row r="229" ht="24">
      <c r="A229" s="7"/>
    </row>
    <row r="230" ht="24">
      <c r="A230" s="7"/>
    </row>
    <row r="231" ht="24">
      <c r="A231" s="7"/>
    </row>
    <row r="232" ht="24">
      <c r="A232" s="7"/>
    </row>
    <row r="233" ht="24">
      <c r="A233" s="7"/>
    </row>
    <row r="234" ht="24">
      <c r="A234" s="7"/>
    </row>
    <row r="235" ht="24">
      <c r="A235" s="7"/>
    </row>
    <row r="236" ht="24">
      <c r="A236" s="7"/>
    </row>
    <row r="237" ht="24">
      <c r="A237" s="7"/>
    </row>
    <row r="238" ht="24">
      <c r="A238" s="7"/>
    </row>
    <row r="239" ht="24">
      <c r="A239" s="7"/>
    </row>
    <row r="240" ht="24">
      <c r="A240" s="7"/>
    </row>
    <row r="241" ht="24">
      <c r="A241" s="7"/>
    </row>
    <row r="242" ht="24">
      <c r="A242" s="7"/>
    </row>
    <row r="243" ht="24">
      <c r="A243" s="7"/>
    </row>
    <row r="244" ht="24">
      <c r="A244" s="7"/>
    </row>
    <row r="245" ht="24">
      <c r="A245" s="7"/>
    </row>
    <row r="246" ht="24">
      <c r="A246" s="7"/>
    </row>
    <row r="247" ht="24">
      <c r="A247" s="7"/>
    </row>
    <row r="248" ht="24">
      <c r="A248" s="7"/>
    </row>
    <row r="249" ht="24">
      <c r="A249" s="7"/>
    </row>
    <row r="250" ht="24">
      <c r="A250" s="7"/>
    </row>
    <row r="251" ht="24">
      <c r="A251" s="7"/>
    </row>
    <row r="252" ht="24">
      <c r="A252" s="7"/>
    </row>
    <row r="253" ht="24">
      <c r="A253" s="7"/>
    </row>
    <row r="254" ht="24">
      <c r="A254" s="7"/>
    </row>
    <row r="255" ht="24">
      <c r="A255" s="7"/>
    </row>
    <row r="256" ht="24">
      <c r="A256" s="7"/>
    </row>
    <row r="257" ht="24">
      <c r="A257" s="7"/>
    </row>
    <row r="258" ht="24">
      <c r="A258" s="7"/>
    </row>
    <row r="259" ht="24">
      <c r="A259" s="7"/>
    </row>
    <row r="260" ht="24">
      <c r="A260" s="7"/>
    </row>
    <row r="261" ht="24">
      <c r="A261" s="7"/>
    </row>
    <row r="262" ht="24">
      <c r="A262" s="7"/>
    </row>
    <row r="263" ht="24">
      <c r="A263" s="7"/>
    </row>
    <row r="264" ht="24">
      <c r="A264" s="7"/>
    </row>
    <row r="265" ht="24">
      <c r="A265" s="7"/>
    </row>
    <row r="266" ht="24">
      <c r="A266" s="7"/>
    </row>
    <row r="267" ht="24">
      <c r="A267" s="7"/>
    </row>
    <row r="268" ht="24">
      <c r="A268" s="7"/>
    </row>
    <row r="269" ht="24">
      <c r="A269" s="7"/>
    </row>
    <row r="270" ht="24">
      <c r="A270" s="7"/>
    </row>
    <row r="271" ht="24">
      <c r="A271" s="7"/>
    </row>
    <row r="272" ht="24">
      <c r="A272" s="7"/>
    </row>
    <row r="273" ht="24">
      <c r="A273" s="7"/>
    </row>
    <row r="274" ht="24">
      <c r="A274" s="7"/>
    </row>
    <row r="275" ht="24">
      <c r="A275" s="7"/>
    </row>
    <row r="276" ht="24">
      <c r="A276" s="7"/>
    </row>
    <row r="277" ht="24">
      <c r="A277" s="7"/>
    </row>
    <row r="278" ht="24">
      <c r="A278" s="7"/>
    </row>
    <row r="279" ht="24">
      <c r="A279" s="7"/>
    </row>
    <row r="280" ht="24">
      <c r="A280" s="7"/>
    </row>
    <row r="281" ht="24">
      <c r="A281" s="7"/>
    </row>
    <row r="282" ht="24">
      <c r="A282" s="7"/>
    </row>
    <row r="283" ht="24">
      <c r="A283" s="7"/>
    </row>
    <row r="284" ht="24">
      <c r="A284" s="7"/>
    </row>
    <row r="285" ht="24">
      <c r="A285" s="7"/>
    </row>
    <row r="286" ht="24">
      <c r="A286" s="7"/>
    </row>
    <row r="287" ht="24">
      <c r="A287" s="7"/>
    </row>
    <row r="288" ht="24">
      <c r="A288" s="7"/>
    </row>
    <row r="289" ht="24">
      <c r="A289" s="7"/>
    </row>
    <row r="290" ht="24">
      <c r="A290" s="7"/>
    </row>
    <row r="291" ht="24">
      <c r="A291" s="7"/>
    </row>
    <row r="292" ht="24">
      <c r="A292" s="7"/>
    </row>
    <row r="293" ht="24">
      <c r="A293" s="7"/>
    </row>
    <row r="294" ht="24">
      <c r="A294" s="7"/>
    </row>
    <row r="295" ht="24">
      <c r="A295" s="7"/>
    </row>
    <row r="296" ht="24">
      <c r="A296" s="7"/>
    </row>
    <row r="297" ht="24">
      <c r="A297" s="7"/>
    </row>
    <row r="298" ht="24">
      <c r="A298" s="7"/>
    </row>
    <row r="299" ht="24">
      <c r="A299" s="7"/>
    </row>
    <row r="300" ht="24">
      <c r="A300" s="7"/>
    </row>
    <row r="301" ht="24">
      <c r="A301" s="7"/>
    </row>
    <row r="302" ht="24">
      <c r="A302" s="7"/>
    </row>
    <row r="303" ht="24">
      <c r="A303" s="7"/>
    </row>
    <row r="304" ht="24">
      <c r="A304" s="7"/>
    </row>
    <row r="305" ht="24">
      <c r="A305" s="7"/>
    </row>
    <row r="306" ht="24">
      <c r="A306" s="7"/>
    </row>
    <row r="307" ht="24">
      <c r="A307" s="7"/>
    </row>
    <row r="308" ht="24">
      <c r="A308" s="7"/>
    </row>
    <row r="309" ht="24">
      <c r="A309" s="7"/>
    </row>
    <row r="310" ht="24">
      <c r="A310" s="7"/>
    </row>
  </sheetData>
  <sheetProtection/>
  <mergeCells count="1">
    <mergeCell ref="A1:C1"/>
  </mergeCells>
  <printOptions/>
  <pageMargins left="1.07" right="0.44" top="1.07" bottom="0.49" header="0.24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L30"/>
  <sheetViews>
    <sheetView zoomScalePageLayoutView="0" workbookViewId="0" topLeftCell="A3">
      <selection activeCell="A28" sqref="A28:A29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1.28125" style="0" bestFit="1" customWidth="1"/>
  </cols>
  <sheetData>
    <row r="1" spans="1:12" s="1" customFormat="1" ht="23.25">
      <c r="A1" s="609" t="s">
        <v>134</v>
      </c>
      <c r="B1" s="610"/>
      <c r="C1" s="610"/>
      <c r="D1" s="610"/>
      <c r="E1" s="610"/>
      <c r="F1" s="610"/>
      <c r="G1" s="624" t="s">
        <v>135</v>
      </c>
      <c r="H1" s="624"/>
      <c r="I1" s="624"/>
      <c r="J1" s="625"/>
      <c r="K1" s="2"/>
      <c r="L1" s="2"/>
    </row>
    <row r="2" spans="1:10" s="1" customFormat="1" ht="23.25">
      <c r="A2" s="612" t="s">
        <v>136</v>
      </c>
      <c r="B2" s="613"/>
      <c r="C2" s="613"/>
      <c r="D2" s="613"/>
      <c r="E2" s="613"/>
      <c r="F2" s="613"/>
      <c r="G2" s="2"/>
      <c r="H2" s="2"/>
      <c r="I2" s="2"/>
      <c r="J2" s="45"/>
    </row>
    <row r="3" spans="1:10" s="1" customFormat="1" ht="23.25">
      <c r="A3" s="614"/>
      <c r="B3" s="615"/>
      <c r="C3" s="615"/>
      <c r="D3" s="615"/>
      <c r="E3" s="615"/>
      <c r="F3" s="615"/>
      <c r="G3" s="616" t="s">
        <v>310</v>
      </c>
      <c r="H3" s="616"/>
      <c r="I3" s="616"/>
      <c r="J3" s="617"/>
    </row>
    <row r="4" spans="1:10" s="1" customFormat="1" ht="23.25">
      <c r="A4" s="53"/>
      <c r="B4" s="54"/>
      <c r="C4" s="54"/>
      <c r="D4" s="54"/>
      <c r="E4" s="54"/>
      <c r="F4" s="54"/>
      <c r="G4" s="618" t="s">
        <v>54</v>
      </c>
      <c r="H4" s="619"/>
      <c r="I4" s="619"/>
      <c r="J4" s="620"/>
    </row>
    <row r="5" spans="1:10" s="1" customFormat="1" ht="23.25">
      <c r="A5" s="5" t="str">
        <f>'001-2-50657-8'!A5</f>
        <v>ยอดคงเหลือตามรายงานธนาคาร  ณ  วันที่  30  เมษายน  2556</v>
      </c>
      <c r="B5" s="2"/>
      <c r="C5" s="2"/>
      <c r="D5" s="2"/>
      <c r="E5" s="2"/>
      <c r="F5" s="45"/>
      <c r="G5" s="621">
        <v>3068092.79</v>
      </c>
      <c r="H5" s="622"/>
      <c r="I5" s="622"/>
      <c r="J5" s="623"/>
    </row>
    <row r="6" spans="1:10" s="1" customFormat="1" ht="23.25">
      <c r="A6" s="5" t="s">
        <v>138</v>
      </c>
      <c r="B6" s="601" t="s">
        <v>277</v>
      </c>
      <c r="C6" s="602"/>
      <c r="D6" s="602"/>
      <c r="E6" s="602"/>
      <c r="F6" s="603"/>
      <c r="G6" s="5"/>
      <c r="H6" s="2"/>
      <c r="I6" s="2"/>
      <c r="J6" s="93"/>
    </row>
    <row r="7" spans="1:10" s="1" customFormat="1" ht="23.25">
      <c r="A7" s="5"/>
      <c r="B7" s="599" t="s">
        <v>36</v>
      </c>
      <c r="C7" s="599"/>
      <c r="D7" s="56" t="s">
        <v>139</v>
      </c>
      <c r="E7" s="56" t="s">
        <v>52</v>
      </c>
      <c r="G7" s="58"/>
      <c r="H7" s="59"/>
      <c r="I7" s="59"/>
      <c r="J7" s="60"/>
    </row>
    <row r="8" spans="1:10" s="1" customFormat="1" ht="23.25">
      <c r="A8" s="9"/>
      <c r="B8" s="4"/>
      <c r="C8" s="56"/>
      <c r="D8" s="7"/>
      <c r="E8" s="273"/>
      <c r="G8" s="58"/>
      <c r="H8" s="59"/>
      <c r="I8" s="59"/>
      <c r="J8" s="60"/>
    </row>
    <row r="9" spans="1:10" s="1" customFormat="1" ht="23.25">
      <c r="A9" s="5"/>
      <c r="B9" s="4"/>
      <c r="C9" s="56"/>
      <c r="D9" s="7"/>
      <c r="E9" s="273"/>
      <c r="G9" s="58"/>
      <c r="H9" s="59"/>
      <c r="I9" s="59"/>
      <c r="J9" s="274"/>
    </row>
    <row r="10" spans="1:10" s="1" customFormat="1" ht="23.25">
      <c r="A10" s="5"/>
      <c r="B10" s="56"/>
      <c r="C10" s="56"/>
      <c r="D10" s="56"/>
      <c r="E10" s="56"/>
      <c r="G10" s="58"/>
      <c r="H10" s="59"/>
      <c r="I10" s="59"/>
      <c r="J10" s="60"/>
    </row>
    <row r="11" spans="1:10" s="1" customFormat="1" ht="23.25">
      <c r="A11" s="8"/>
      <c r="B11" s="600"/>
      <c r="C11" s="600"/>
      <c r="D11" s="2"/>
      <c r="E11" s="7" t="s">
        <v>92</v>
      </c>
      <c r="F11" s="61" t="s">
        <v>92</v>
      </c>
      <c r="G11" s="58"/>
      <c r="H11" s="62"/>
      <c r="I11" s="62"/>
      <c r="J11" s="63"/>
    </row>
    <row r="12" spans="1:10" s="1" customFormat="1" ht="23.25">
      <c r="A12" s="5" t="s">
        <v>140</v>
      </c>
      <c r="B12" s="2"/>
      <c r="C12" s="2"/>
      <c r="D12" s="2"/>
      <c r="E12" s="2"/>
      <c r="F12" s="45"/>
      <c r="G12" s="604"/>
      <c r="H12" s="605"/>
      <c r="I12" s="605"/>
      <c r="J12" s="606"/>
    </row>
    <row r="13" spans="1:10" s="1" customFormat="1" ht="23.25">
      <c r="A13" s="608" t="s">
        <v>280</v>
      </c>
      <c r="B13" s="602"/>
      <c r="C13" s="602"/>
      <c r="D13" s="602"/>
      <c r="E13" s="602"/>
      <c r="F13" s="603"/>
      <c r="G13" s="9"/>
      <c r="H13" s="4"/>
      <c r="I13" s="4"/>
      <c r="J13" s="65"/>
    </row>
    <row r="14" spans="1:10" s="1" customFormat="1" ht="23.25">
      <c r="A14" s="8"/>
      <c r="B14" s="595" t="s">
        <v>142</v>
      </c>
      <c r="C14" s="596"/>
      <c r="D14" s="2"/>
      <c r="E14" s="66" t="s">
        <v>143</v>
      </c>
      <c r="F14" s="67">
        <v>4950</v>
      </c>
      <c r="G14" s="8"/>
      <c r="H14" s="10"/>
      <c r="I14" s="10"/>
      <c r="J14" s="11"/>
    </row>
    <row r="15" spans="1:10" s="1" customFormat="1" ht="23.25">
      <c r="A15" s="8"/>
      <c r="B15" s="595" t="s">
        <v>144</v>
      </c>
      <c r="C15" s="607"/>
      <c r="D15" s="2"/>
      <c r="E15" s="66" t="s">
        <v>145</v>
      </c>
      <c r="F15" s="67">
        <v>500</v>
      </c>
      <c r="G15" s="58"/>
      <c r="H15" s="62"/>
      <c r="I15" s="62"/>
      <c r="J15" s="68"/>
    </row>
    <row r="16" spans="1:10" s="1" customFormat="1" ht="23.25">
      <c r="A16" s="8"/>
      <c r="B16" s="595" t="s">
        <v>146</v>
      </c>
      <c r="C16" s="596"/>
      <c r="D16" s="2"/>
      <c r="E16" s="66" t="s">
        <v>147</v>
      </c>
      <c r="F16" s="67">
        <v>300</v>
      </c>
      <c r="G16" s="8"/>
      <c r="H16" s="10"/>
      <c r="I16" s="10"/>
      <c r="J16" s="11"/>
    </row>
    <row r="17" spans="1:10" s="1" customFormat="1" ht="23.25">
      <c r="A17" s="8"/>
      <c r="B17" s="595" t="s">
        <v>151</v>
      </c>
      <c r="C17" s="596"/>
      <c r="D17" s="2"/>
      <c r="E17" s="66" t="s">
        <v>153</v>
      </c>
      <c r="F17" s="67">
        <v>4950</v>
      </c>
      <c r="G17" s="58"/>
      <c r="H17" s="62"/>
      <c r="I17" s="62"/>
      <c r="J17" s="68"/>
    </row>
    <row r="18" spans="1:10" s="1" customFormat="1" ht="23.25">
      <c r="A18" s="8"/>
      <c r="B18" s="595" t="s">
        <v>154</v>
      </c>
      <c r="C18" s="596"/>
      <c r="D18" s="2"/>
      <c r="E18" s="66" t="s">
        <v>155</v>
      </c>
      <c r="F18" s="67">
        <v>2000</v>
      </c>
      <c r="G18" s="58"/>
      <c r="H18" s="62"/>
      <c r="I18" s="62"/>
      <c r="J18" s="68"/>
    </row>
    <row r="19" spans="1:10" s="1" customFormat="1" ht="23.25">
      <c r="A19" s="8"/>
      <c r="B19" s="597"/>
      <c r="C19" s="598"/>
      <c r="D19" s="2"/>
      <c r="E19" s="7"/>
      <c r="F19" s="12"/>
      <c r="G19" s="55"/>
      <c r="H19" s="70"/>
      <c r="I19" s="70"/>
      <c r="J19" s="63"/>
    </row>
    <row r="20" spans="1:10" s="1" customFormat="1" ht="23.25">
      <c r="A20" s="8"/>
      <c r="B20" s="597"/>
      <c r="C20" s="598"/>
      <c r="D20" s="2"/>
      <c r="E20" s="7"/>
      <c r="F20" s="12"/>
      <c r="G20" s="55"/>
      <c r="H20" s="70"/>
      <c r="I20" s="70"/>
      <c r="J20" s="63"/>
    </row>
    <row r="21" spans="1:10" s="1" customFormat="1" ht="23.25">
      <c r="A21" s="5" t="s">
        <v>156</v>
      </c>
      <c r="B21" s="2"/>
      <c r="C21" s="2"/>
      <c r="D21" s="2"/>
      <c r="E21" s="10"/>
      <c r="F21" s="45"/>
      <c r="G21" s="58"/>
      <c r="H21" s="62"/>
      <c r="I21" s="62"/>
      <c r="J21" s="63"/>
    </row>
    <row r="22" spans="1:10" s="1" customFormat="1" ht="23.25">
      <c r="A22" s="71"/>
      <c r="B22" s="72" t="s">
        <v>311</v>
      </c>
      <c r="C22" s="7"/>
      <c r="D22" s="2"/>
      <c r="E22" s="2"/>
      <c r="F22" s="12"/>
      <c r="G22" s="58"/>
      <c r="H22" s="62"/>
      <c r="I22" s="62"/>
      <c r="J22" s="63">
        <f>9835.95+4312.78</f>
        <v>14148.73</v>
      </c>
    </row>
    <row r="23" spans="1:10" s="1" customFormat="1" ht="23.25">
      <c r="A23" s="5"/>
      <c r="B23" s="7" t="s">
        <v>92</v>
      </c>
      <c r="C23" s="7"/>
      <c r="D23" s="2"/>
      <c r="E23" s="2"/>
      <c r="F23" s="12"/>
      <c r="G23" s="58"/>
      <c r="H23" s="62"/>
      <c r="I23" s="62"/>
      <c r="J23" s="68"/>
    </row>
    <row r="24" spans="1:12" s="1" customFormat="1" ht="23.25">
      <c r="A24" s="6" t="str">
        <f>'001-2-50657-8'!A22</f>
        <v>ยอดคงเหลือตามบัญชี ณ วันที่    30  เมษายน  2556</v>
      </c>
      <c r="B24" s="3"/>
      <c r="C24" s="3"/>
      <c r="D24" s="3"/>
      <c r="E24" s="3"/>
      <c r="F24" s="73"/>
      <c r="G24" s="592">
        <f>G5-J22</f>
        <v>3053944.06</v>
      </c>
      <c r="H24" s="593"/>
      <c r="I24" s="593"/>
      <c r="J24" s="594"/>
      <c r="L24" s="91">
        <f>งบทดลอง1!F15-G24</f>
        <v>14148.729999999981</v>
      </c>
    </row>
    <row r="25" spans="1:12" s="1" customFormat="1" ht="23.25">
      <c r="A25" s="74"/>
      <c r="B25" s="75"/>
      <c r="C25" s="75"/>
      <c r="D25" s="75"/>
      <c r="E25" s="75"/>
      <c r="F25" s="76"/>
      <c r="G25" s="77"/>
      <c r="H25" s="78"/>
      <c r="I25" s="78"/>
      <c r="J25" s="79"/>
      <c r="K25" s="2"/>
      <c r="L25" s="2"/>
    </row>
    <row r="26" spans="1:12" s="1" customFormat="1" ht="23.25">
      <c r="A26" s="80" t="s">
        <v>157</v>
      </c>
      <c r="B26" s="81"/>
      <c r="C26" s="81"/>
      <c r="D26" s="81"/>
      <c r="E26" s="2"/>
      <c r="F26" s="81"/>
      <c r="G26" s="81"/>
      <c r="H26" s="81"/>
      <c r="I26" s="81"/>
      <c r="J26" s="82"/>
      <c r="K26" s="2"/>
      <c r="L26" s="2"/>
    </row>
    <row r="27" spans="1:12" s="1" customFormat="1" ht="23.25">
      <c r="A27" s="9" t="s">
        <v>158</v>
      </c>
      <c r="B27" s="4"/>
      <c r="C27" s="4"/>
      <c r="D27" s="4"/>
      <c r="E27" s="81"/>
      <c r="F27" s="4"/>
      <c r="G27" s="4"/>
      <c r="H27" s="4"/>
      <c r="I27" s="4"/>
      <c r="J27" s="47"/>
      <c r="K27" s="2"/>
      <c r="L27" s="2"/>
    </row>
    <row r="28" spans="1:12" s="1" customFormat="1" ht="23.25">
      <c r="A28" s="9" t="s">
        <v>159</v>
      </c>
      <c r="B28" s="4"/>
      <c r="C28" s="4"/>
      <c r="D28" s="4"/>
      <c r="E28" s="4"/>
      <c r="F28" s="4"/>
      <c r="G28" s="4"/>
      <c r="H28" s="4"/>
      <c r="I28" s="4"/>
      <c r="J28" s="47"/>
      <c r="K28" s="4"/>
      <c r="L28" s="4"/>
    </row>
    <row r="29" spans="1:12" s="1" customFormat="1" ht="23.25">
      <c r="A29" s="9" t="s">
        <v>493</v>
      </c>
      <c r="B29" s="4"/>
      <c r="C29" s="4"/>
      <c r="D29" s="4"/>
      <c r="E29" s="4"/>
      <c r="F29" s="4"/>
      <c r="G29" s="4"/>
      <c r="H29" s="4"/>
      <c r="I29" s="4"/>
      <c r="J29" s="47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3"/>
      <c r="K30" s="2"/>
      <c r="L30" s="2"/>
    </row>
    <row r="31" s="1" customFormat="1" ht="23.25"/>
  </sheetData>
  <sheetProtection/>
  <mergeCells count="19">
    <mergeCell ref="B16:C16"/>
    <mergeCell ref="B19:C19"/>
    <mergeCell ref="B20:C20"/>
    <mergeCell ref="G24:J24"/>
    <mergeCell ref="B17:C17"/>
    <mergeCell ref="B18:C18"/>
    <mergeCell ref="B15:C15"/>
    <mergeCell ref="A13:F13"/>
    <mergeCell ref="G4:J4"/>
    <mergeCell ref="G5:J5"/>
    <mergeCell ref="B7:C7"/>
    <mergeCell ref="B11:C11"/>
    <mergeCell ref="B6:F6"/>
    <mergeCell ref="A1:F1"/>
    <mergeCell ref="G1:J1"/>
    <mergeCell ref="A2:F3"/>
    <mergeCell ref="G3:J3"/>
    <mergeCell ref="G12:J12"/>
    <mergeCell ref="B14:C14"/>
  </mergeCells>
  <printOptions/>
  <pageMargins left="0.75" right="0.2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30"/>
  <sheetViews>
    <sheetView zoomScalePageLayoutView="0" workbookViewId="0" topLeftCell="A20">
      <selection activeCell="A28" sqref="A28:A29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20.8515625" style="0" customWidth="1"/>
  </cols>
  <sheetData>
    <row r="1" spans="1:12" s="1" customFormat="1" ht="23.25">
      <c r="A1" s="609" t="s">
        <v>134</v>
      </c>
      <c r="B1" s="610"/>
      <c r="C1" s="610"/>
      <c r="D1" s="610"/>
      <c r="E1" s="610"/>
      <c r="F1" s="610"/>
      <c r="G1" s="624" t="s">
        <v>135</v>
      </c>
      <c r="H1" s="624"/>
      <c r="I1" s="624"/>
      <c r="J1" s="625"/>
      <c r="K1" s="2"/>
      <c r="L1" s="2"/>
    </row>
    <row r="2" spans="1:10" s="1" customFormat="1" ht="23.25">
      <c r="A2" s="612" t="s">
        <v>136</v>
      </c>
      <c r="B2" s="613"/>
      <c r="C2" s="613"/>
      <c r="D2" s="613"/>
      <c r="E2" s="613"/>
      <c r="F2" s="613"/>
      <c r="G2" s="2"/>
      <c r="H2" s="2"/>
      <c r="I2" s="2"/>
      <c r="J2" s="45"/>
    </row>
    <row r="3" spans="1:10" s="1" customFormat="1" ht="23.25">
      <c r="A3" s="614"/>
      <c r="B3" s="615"/>
      <c r="C3" s="615"/>
      <c r="D3" s="615"/>
      <c r="E3" s="615"/>
      <c r="F3" s="615"/>
      <c r="G3" s="616" t="s">
        <v>279</v>
      </c>
      <c r="H3" s="616"/>
      <c r="I3" s="616"/>
      <c r="J3" s="617"/>
    </row>
    <row r="4" spans="1:10" s="1" customFormat="1" ht="23.25">
      <c r="A4" s="53"/>
      <c r="B4" s="54"/>
      <c r="C4" s="54"/>
      <c r="D4" s="54"/>
      <c r="E4" s="54"/>
      <c r="F4" s="54"/>
      <c r="G4" s="618" t="s">
        <v>54</v>
      </c>
      <c r="H4" s="619"/>
      <c r="I4" s="619"/>
      <c r="J4" s="620"/>
    </row>
    <row r="5" spans="1:10" s="1" customFormat="1" ht="23.25">
      <c r="A5" s="5" t="str">
        <f>'001-2-50657-8'!A5</f>
        <v>ยอดคงเหลือตามรายงานธนาคาร  ณ  วันที่  30  เมษายน  2556</v>
      </c>
      <c r="B5" s="2"/>
      <c r="C5" s="2"/>
      <c r="D5" s="2"/>
      <c r="E5" s="2"/>
      <c r="F5" s="45"/>
      <c r="G5" s="621">
        <v>139468.77</v>
      </c>
      <c r="H5" s="622"/>
      <c r="I5" s="622"/>
      <c r="J5" s="623"/>
    </row>
    <row r="6" spans="1:10" s="1" customFormat="1" ht="23.25">
      <c r="A6" s="5" t="s">
        <v>138</v>
      </c>
      <c r="B6" s="601" t="s">
        <v>277</v>
      </c>
      <c r="C6" s="602"/>
      <c r="D6" s="602"/>
      <c r="E6" s="602"/>
      <c r="F6" s="603"/>
      <c r="G6" s="5"/>
      <c r="H6" s="2"/>
      <c r="I6" s="2"/>
      <c r="J6" s="93"/>
    </row>
    <row r="7" spans="1:10" s="1" customFormat="1" ht="23.25">
      <c r="A7" s="5"/>
      <c r="B7" s="599" t="s">
        <v>36</v>
      </c>
      <c r="C7" s="599"/>
      <c r="D7" s="56" t="s">
        <v>139</v>
      </c>
      <c r="E7" s="56" t="s">
        <v>52</v>
      </c>
      <c r="G7" s="58"/>
      <c r="H7" s="59"/>
      <c r="I7" s="59"/>
      <c r="J7" s="60"/>
    </row>
    <row r="8" spans="1:10" s="1" customFormat="1" ht="23.25">
      <c r="A8" s="9"/>
      <c r="B8" s="4"/>
      <c r="C8" s="56"/>
      <c r="D8" s="7"/>
      <c r="E8" s="273"/>
      <c r="G8" s="58"/>
      <c r="H8" s="59"/>
      <c r="I8" s="59"/>
      <c r="J8" s="60"/>
    </row>
    <row r="9" spans="1:10" s="1" customFormat="1" ht="23.25">
      <c r="A9" s="5"/>
      <c r="B9" s="4"/>
      <c r="C9" s="56"/>
      <c r="D9" s="7"/>
      <c r="E9" s="273"/>
      <c r="G9" s="58"/>
      <c r="H9" s="59"/>
      <c r="I9" s="59"/>
      <c r="J9" s="274"/>
    </row>
    <row r="10" spans="1:10" s="1" customFormat="1" ht="23.25">
      <c r="A10" s="5"/>
      <c r="B10" s="56"/>
      <c r="C10" s="56"/>
      <c r="D10" s="56"/>
      <c r="E10" s="56"/>
      <c r="G10" s="58"/>
      <c r="H10" s="59"/>
      <c r="I10" s="59"/>
      <c r="J10" s="60"/>
    </row>
    <row r="11" spans="1:12" s="1" customFormat="1" ht="23.25">
      <c r="A11" s="8"/>
      <c r="B11" s="600"/>
      <c r="C11" s="600"/>
      <c r="D11" s="2"/>
      <c r="E11" s="7" t="s">
        <v>92</v>
      </c>
      <c r="F11" s="61" t="s">
        <v>92</v>
      </c>
      <c r="G11" s="58"/>
      <c r="H11" s="62"/>
      <c r="I11" s="62"/>
      <c r="J11" s="63"/>
      <c r="L11" s="1">
        <f>696830.47-20000</f>
        <v>676830.47</v>
      </c>
    </row>
    <row r="12" spans="1:10" s="1" customFormat="1" ht="23.25">
      <c r="A12" s="5" t="s">
        <v>140</v>
      </c>
      <c r="B12" s="2"/>
      <c r="C12" s="2"/>
      <c r="D12" s="2"/>
      <c r="E12" s="2"/>
      <c r="F12" s="45"/>
      <c r="G12" s="604"/>
      <c r="H12" s="605"/>
      <c r="I12" s="605"/>
      <c r="J12" s="606"/>
    </row>
    <row r="13" spans="1:10" s="1" customFormat="1" ht="23.25">
      <c r="A13" s="608" t="s">
        <v>280</v>
      </c>
      <c r="B13" s="602"/>
      <c r="C13" s="602"/>
      <c r="D13" s="602"/>
      <c r="E13" s="602"/>
      <c r="F13" s="603"/>
      <c r="G13" s="9"/>
      <c r="H13" s="4"/>
      <c r="I13" s="4"/>
      <c r="J13" s="65"/>
    </row>
    <row r="14" spans="1:10" s="1" customFormat="1" ht="23.25">
      <c r="A14" s="8"/>
      <c r="B14" s="595" t="s">
        <v>142</v>
      </c>
      <c r="C14" s="596"/>
      <c r="D14" s="2"/>
      <c r="E14" s="66" t="s">
        <v>143</v>
      </c>
      <c r="F14" s="67">
        <v>4950</v>
      </c>
      <c r="G14" s="8"/>
      <c r="H14" s="10"/>
      <c r="I14" s="10"/>
      <c r="J14" s="11"/>
    </row>
    <row r="15" spans="1:10" s="1" customFormat="1" ht="23.25">
      <c r="A15" s="8"/>
      <c r="B15" s="595" t="s">
        <v>144</v>
      </c>
      <c r="C15" s="607"/>
      <c r="D15" s="2"/>
      <c r="E15" s="66" t="s">
        <v>145</v>
      </c>
      <c r="F15" s="67">
        <v>500</v>
      </c>
      <c r="G15" s="58"/>
      <c r="H15" s="62"/>
      <c r="I15" s="62"/>
      <c r="J15" s="68"/>
    </row>
    <row r="16" spans="1:10" s="1" customFormat="1" ht="23.25">
      <c r="A16" s="8"/>
      <c r="B16" s="595" t="s">
        <v>146</v>
      </c>
      <c r="C16" s="596"/>
      <c r="D16" s="2"/>
      <c r="E16" s="66" t="s">
        <v>147</v>
      </c>
      <c r="F16" s="67">
        <v>300</v>
      </c>
      <c r="G16" s="8"/>
      <c r="H16" s="10"/>
      <c r="I16" s="10"/>
      <c r="J16" s="11"/>
    </row>
    <row r="17" spans="1:10" s="1" customFormat="1" ht="23.25">
      <c r="A17" s="8"/>
      <c r="B17" s="595" t="s">
        <v>151</v>
      </c>
      <c r="C17" s="596"/>
      <c r="D17" s="2"/>
      <c r="E17" s="66" t="s">
        <v>153</v>
      </c>
      <c r="F17" s="67">
        <v>4950</v>
      </c>
      <c r="G17" s="58"/>
      <c r="H17" s="62"/>
      <c r="I17" s="62"/>
      <c r="J17" s="68"/>
    </row>
    <row r="18" spans="1:10" s="1" customFormat="1" ht="23.25">
      <c r="A18" s="8"/>
      <c r="B18" s="595" t="s">
        <v>154</v>
      </c>
      <c r="C18" s="596"/>
      <c r="D18" s="2"/>
      <c r="E18" s="66" t="s">
        <v>155</v>
      </c>
      <c r="F18" s="67">
        <v>2000</v>
      </c>
      <c r="G18" s="58"/>
      <c r="H18" s="62"/>
      <c r="I18" s="62"/>
      <c r="J18" s="68"/>
    </row>
    <row r="19" spans="1:10" s="1" customFormat="1" ht="23.25">
      <c r="A19" s="8"/>
      <c r="B19" s="597"/>
      <c r="C19" s="598"/>
      <c r="D19" s="2"/>
      <c r="E19" s="7"/>
      <c r="F19" s="12"/>
      <c r="G19" s="55"/>
      <c r="H19" s="70"/>
      <c r="I19" s="70"/>
      <c r="J19" s="63"/>
    </row>
    <row r="20" spans="1:10" s="1" customFormat="1" ht="23.25">
      <c r="A20" s="8"/>
      <c r="B20" s="597"/>
      <c r="C20" s="598"/>
      <c r="D20" s="2"/>
      <c r="E20" s="7"/>
      <c r="F20" s="12"/>
      <c r="G20" s="55"/>
      <c r="H20" s="70"/>
      <c r="I20" s="70"/>
      <c r="J20" s="63"/>
    </row>
    <row r="21" spans="1:10" s="1" customFormat="1" ht="23.25">
      <c r="A21" s="5" t="s">
        <v>156</v>
      </c>
      <c r="B21" s="2"/>
      <c r="C21" s="2"/>
      <c r="D21" s="2"/>
      <c r="E21" s="10"/>
      <c r="F21" s="45"/>
      <c r="G21" s="58"/>
      <c r="H21" s="62"/>
      <c r="I21" s="62"/>
      <c r="J21" s="63"/>
    </row>
    <row r="22" spans="1:10" s="1" customFormat="1" ht="23.25">
      <c r="A22" s="71"/>
      <c r="B22" s="72" t="s">
        <v>311</v>
      </c>
      <c r="C22" s="7"/>
      <c r="D22" s="2"/>
      <c r="E22" s="2"/>
      <c r="F22" s="12"/>
      <c r="G22" s="58"/>
      <c r="H22" s="62"/>
      <c r="I22" s="62"/>
      <c r="J22" s="63">
        <v>410.02</v>
      </c>
    </row>
    <row r="23" spans="1:10" s="1" customFormat="1" ht="23.25">
      <c r="A23" s="5"/>
      <c r="B23" s="7" t="s">
        <v>92</v>
      </c>
      <c r="C23" s="7"/>
      <c r="D23" s="2"/>
      <c r="E23" s="2"/>
      <c r="F23" s="12"/>
      <c r="G23" s="58"/>
      <c r="H23" s="62"/>
      <c r="I23" s="62"/>
      <c r="J23" s="68"/>
    </row>
    <row r="24" spans="1:12" s="1" customFormat="1" ht="23.25">
      <c r="A24" s="6" t="str">
        <f>'001-2-50657-8'!A22</f>
        <v>ยอดคงเหลือตามบัญชี ณ วันที่    30  เมษายน  2556</v>
      </c>
      <c r="B24" s="3"/>
      <c r="C24" s="3"/>
      <c r="D24" s="3"/>
      <c r="E24" s="3"/>
      <c r="F24" s="73"/>
      <c r="G24" s="592">
        <f>G5+J6-J22</f>
        <v>139058.75</v>
      </c>
      <c r="H24" s="593"/>
      <c r="I24" s="593"/>
      <c r="J24" s="594"/>
      <c r="L24" s="91">
        <f>G24-งบทดลอง1!F14</f>
        <v>-410.0199999999895</v>
      </c>
    </row>
    <row r="25" spans="1:12" s="1" customFormat="1" ht="23.25">
      <c r="A25" s="74"/>
      <c r="B25" s="75"/>
      <c r="C25" s="75"/>
      <c r="D25" s="75"/>
      <c r="E25" s="75"/>
      <c r="F25" s="76"/>
      <c r="G25" s="77"/>
      <c r="H25" s="78"/>
      <c r="I25" s="78"/>
      <c r="J25" s="79"/>
      <c r="K25" s="2"/>
      <c r="L25" s="2"/>
    </row>
    <row r="26" spans="1:12" s="1" customFormat="1" ht="23.25">
      <c r="A26" s="80" t="s">
        <v>157</v>
      </c>
      <c r="B26" s="81"/>
      <c r="C26" s="81"/>
      <c r="D26" s="81"/>
      <c r="E26" s="2"/>
      <c r="F26" s="81"/>
      <c r="G26" s="81"/>
      <c r="H26" s="81"/>
      <c r="I26" s="81"/>
      <c r="J26" s="82"/>
      <c r="K26" s="2"/>
      <c r="L26" s="2"/>
    </row>
    <row r="27" spans="1:12" s="1" customFormat="1" ht="23.25">
      <c r="A27" s="9" t="s">
        <v>158</v>
      </c>
      <c r="B27" s="4"/>
      <c r="C27" s="4"/>
      <c r="D27" s="4"/>
      <c r="E27" s="81"/>
      <c r="F27" s="4"/>
      <c r="G27" s="4"/>
      <c r="H27" s="4"/>
      <c r="I27" s="4"/>
      <c r="J27" s="47"/>
      <c r="K27" s="2"/>
      <c r="L27" s="2"/>
    </row>
    <row r="28" spans="1:12" s="1" customFormat="1" ht="23.25">
      <c r="A28" s="9" t="s">
        <v>159</v>
      </c>
      <c r="B28" s="4"/>
      <c r="C28" s="4"/>
      <c r="D28" s="4"/>
      <c r="E28" s="4"/>
      <c r="F28" s="4"/>
      <c r="G28" s="4"/>
      <c r="H28" s="4"/>
      <c r="I28" s="4"/>
      <c r="J28" s="47"/>
      <c r="K28" s="4"/>
      <c r="L28" s="4"/>
    </row>
    <row r="29" spans="1:12" s="1" customFormat="1" ht="23.25">
      <c r="A29" s="9" t="s">
        <v>493</v>
      </c>
      <c r="B29" s="4"/>
      <c r="C29" s="4"/>
      <c r="D29" s="4"/>
      <c r="E29" s="4"/>
      <c r="F29" s="4"/>
      <c r="G29" s="4"/>
      <c r="H29" s="4"/>
      <c r="I29" s="4"/>
      <c r="J29" s="47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3"/>
      <c r="K30" s="2"/>
      <c r="L30" s="2"/>
    </row>
    <row r="31" s="1" customFormat="1" ht="23.25"/>
  </sheetData>
  <sheetProtection/>
  <mergeCells count="19">
    <mergeCell ref="A1:F1"/>
    <mergeCell ref="G1:J1"/>
    <mergeCell ref="A2:F3"/>
    <mergeCell ref="G3:J3"/>
    <mergeCell ref="G4:J4"/>
    <mergeCell ref="G5:J5"/>
    <mergeCell ref="B7:C7"/>
    <mergeCell ref="B11:C11"/>
    <mergeCell ref="B6:F6"/>
    <mergeCell ref="G12:J12"/>
    <mergeCell ref="B14:C14"/>
    <mergeCell ref="B15:C15"/>
    <mergeCell ref="A13:F13"/>
    <mergeCell ref="B16:C16"/>
    <mergeCell ref="B19:C19"/>
    <mergeCell ref="B20:C20"/>
    <mergeCell ref="G24:J24"/>
    <mergeCell ref="B17:C17"/>
    <mergeCell ref="B18:C18"/>
  </mergeCells>
  <printOptions/>
  <pageMargins left="0.75" right="0.27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F29" sqref="F29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</cols>
  <sheetData>
    <row r="1" spans="1:12" s="1" customFormat="1" ht="23.25">
      <c r="A1" s="609" t="s">
        <v>134</v>
      </c>
      <c r="B1" s="610"/>
      <c r="C1" s="610"/>
      <c r="D1" s="610"/>
      <c r="E1" s="610"/>
      <c r="F1" s="610"/>
      <c r="G1" s="624" t="s">
        <v>274</v>
      </c>
      <c r="H1" s="624"/>
      <c r="I1" s="624"/>
      <c r="J1" s="625"/>
      <c r="K1" s="2"/>
      <c r="L1" s="2"/>
    </row>
    <row r="2" spans="1:10" s="1" customFormat="1" ht="23.25">
      <c r="A2" s="612" t="s">
        <v>136</v>
      </c>
      <c r="B2" s="613"/>
      <c r="C2" s="613"/>
      <c r="D2" s="613"/>
      <c r="E2" s="613"/>
      <c r="F2" s="613"/>
      <c r="G2" s="2"/>
      <c r="H2" s="2"/>
      <c r="I2" s="2"/>
      <c r="J2" s="45"/>
    </row>
    <row r="3" spans="1:10" s="1" customFormat="1" ht="23.25">
      <c r="A3" s="614"/>
      <c r="B3" s="615"/>
      <c r="C3" s="615"/>
      <c r="D3" s="615"/>
      <c r="E3" s="615"/>
      <c r="F3" s="615"/>
      <c r="G3" s="616" t="s">
        <v>273</v>
      </c>
      <c r="H3" s="616"/>
      <c r="I3" s="616"/>
      <c r="J3" s="617"/>
    </row>
    <row r="4" spans="1:10" s="1" customFormat="1" ht="23.25">
      <c r="A4" s="53"/>
      <c r="B4" s="54"/>
      <c r="C4" s="54"/>
      <c r="D4" s="54"/>
      <c r="E4" s="54"/>
      <c r="F4" s="54"/>
      <c r="G4" s="618" t="s">
        <v>54</v>
      </c>
      <c r="H4" s="619"/>
      <c r="I4" s="619"/>
      <c r="J4" s="620"/>
    </row>
    <row r="5" spans="1:10" s="1" customFormat="1" ht="23.25">
      <c r="A5" s="5" t="str">
        <f>'539-6-01276-5'!A5</f>
        <v>ยอดคงเหลือตามรายงานธนาคาร  ณ  วันที่  30  เมษายน  2556</v>
      </c>
      <c r="B5" s="2"/>
      <c r="C5" s="2"/>
      <c r="D5" s="2"/>
      <c r="E5" s="2"/>
      <c r="F5" s="45"/>
      <c r="G5" s="621">
        <v>1062.03</v>
      </c>
      <c r="H5" s="622"/>
      <c r="I5" s="622"/>
      <c r="J5" s="623"/>
    </row>
    <row r="6" spans="1:10" s="1" customFormat="1" ht="23.25">
      <c r="A6" s="5" t="s">
        <v>138</v>
      </c>
      <c r="B6" s="601"/>
      <c r="C6" s="602"/>
      <c r="D6" s="602"/>
      <c r="E6" s="602"/>
      <c r="F6" s="603"/>
      <c r="G6" s="5"/>
      <c r="H6" s="2"/>
      <c r="I6" s="2"/>
      <c r="J6" s="93"/>
    </row>
    <row r="7" spans="1:10" s="1" customFormat="1" ht="23.25">
      <c r="A7" s="5"/>
      <c r="B7" s="599" t="s">
        <v>36</v>
      </c>
      <c r="C7" s="599"/>
      <c r="D7" s="56" t="s">
        <v>139</v>
      </c>
      <c r="E7" s="57" t="s">
        <v>52</v>
      </c>
      <c r="G7" s="58"/>
      <c r="H7" s="59"/>
      <c r="I7" s="59"/>
      <c r="J7" s="60"/>
    </row>
    <row r="8" spans="1:10" s="1" customFormat="1" ht="23.25">
      <c r="A8" s="8"/>
      <c r="B8" s="600"/>
      <c r="C8" s="600"/>
      <c r="D8" s="2"/>
      <c r="E8" s="7" t="s">
        <v>92</v>
      </c>
      <c r="F8" s="61" t="s">
        <v>92</v>
      </c>
      <c r="G8" s="58"/>
      <c r="H8" s="62"/>
      <c r="I8" s="62"/>
      <c r="J8" s="63"/>
    </row>
    <row r="9" spans="1:10" s="1" customFormat="1" ht="23.25">
      <c r="A9" s="5" t="s">
        <v>140</v>
      </c>
      <c r="B9" s="2"/>
      <c r="C9" s="2"/>
      <c r="D9" s="2"/>
      <c r="E9" s="2"/>
      <c r="F9" s="45"/>
      <c r="G9" s="604"/>
      <c r="H9" s="605"/>
      <c r="I9" s="605"/>
      <c r="J9" s="606"/>
    </row>
    <row r="10" spans="1:10" s="1" customFormat="1" ht="23.25">
      <c r="A10" s="5"/>
      <c r="B10" s="599" t="s">
        <v>163</v>
      </c>
      <c r="C10" s="599"/>
      <c r="D10" s="2"/>
      <c r="E10" s="56" t="s">
        <v>139</v>
      </c>
      <c r="F10" s="57" t="s">
        <v>52</v>
      </c>
      <c r="G10" s="9"/>
      <c r="H10" s="4"/>
      <c r="I10" s="4"/>
      <c r="J10" s="65"/>
    </row>
    <row r="11" spans="1:10" s="1" customFormat="1" ht="23.25">
      <c r="A11" s="608" t="s">
        <v>164</v>
      </c>
      <c r="B11" s="602"/>
      <c r="C11" s="602"/>
      <c r="D11" s="602"/>
      <c r="E11" s="602"/>
      <c r="F11" s="603"/>
      <c r="G11" s="8"/>
      <c r="H11" s="10"/>
      <c r="I11" s="10"/>
      <c r="J11" s="271">
        <v>110.77</v>
      </c>
    </row>
    <row r="12" spans="1:10" s="1" customFormat="1" ht="23.25">
      <c r="A12" s="8"/>
      <c r="B12" s="595" t="s">
        <v>144</v>
      </c>
      <c r="C12" s="607"/>
      <c r="D12" s="2"/>
      <c r="E12" s="66" t="s">
        <v>145</v>
      </c>
      <c r="F12" s="67">
        <v>500</v>
      </c>
      <c r="G12" s="58"/>
      <c r="H12" s="62"/>
      <c r="I12" s="62"/>
      <c r="J12" s="68"/>
    </row>
    <row r="13" spans="1:10" s="1" customFormat="1" ht="23.25">
      <c r="A13" s="8"/>
      <c r="B13" s="595" t="s">
        <v>146</v>
      </c>
      <c r="C13" s="596"/>
      <c r="D13" s="2"/>
      <c r="E13" s="66" t="s">
        <v>147</v>
      </c>
      <c r="F13" s="67">
        <v>300</v>
      </c>
      <c r="G13" s="8"/>
      <c r="H13" s="10"/>
      <c r="I13" s="10"/>
      <c r="J13" s="11"/>
    </row>
    <row r="14" spans="1:10" s="1" customFormat="1" ht="23.25">
      <c r="A14" s="8"/>
      <c r="B14" s="595" t="s">
        <v>148</v>
      </c>
      <c r="C14" s="596"/>
      <c r="D14" s="2"/>
      <c r="E14" s="66" t="s">
        <v>149</v>
      </c>
      <c r="F14" s="67">
        <v>391.82</v>
      </c>
      <c r="G14" s="8"/>
      <c r="H14" s="10"/>
      <c r="I14" s="10"/>
      <c r="J14" s="63"/>
    </row>
    <row r="15" spans="1:10" s="1" customFormat="1" ht="23.25">
      <c r="A15" s="5"/>
      <c r="B15" s="595" t="s">
        <v>148</v>
      </c>
      <c r="C15" s="596"/>
      <c r="E15" s="66" t="s">
        <v>150</v>
      </c>
      <c r="F15" s="69">
        <v>2282.19</v>
      </c>
      <c r="J15" s="45"/>
    </row>
    <row r="16" spans="1:10" s="1" customFormat="1" ht="23.25">
      <c r="A16" s="5"/>
      <c r="B16" s="595" t="s">
        <v>151</v>
      </c>
      <c r="C16" s="596"/>
      <c r="E16" s="66" t="s">
        <v>152</v>
      </c>
      <c r="F16" s="69">
        <v>1060</v>
      </c>
      <c r="J16" s="45"/>
    </row>
    <row r="17" spans="1:10" s="1" customFormat="1" ht="23.25">
      <c r="A17" s="8"/>
      <c r="B17" s="595" t="s">
        <v>151</v>
      </c>
      <c r="C17" s="596"/>
      <c r="D17" s="2"/>
      <c r="E17" s="66" t="s">
        <v>153</v>
      </c>
      <c r="F17" s="67">
        <v>4950</v>
      </c>
      <c r="G17" s="58"/>
      <c r="H17" s="62"/>
      <c r="I17" s="62"/>
      <c r="J17" s="68"/>
    </row>
    <row r="18" spans="1:10" s="1" customFormat="1" ht="23.25">
      <c r="A18" s="8"/>
      <c r="B18" s="595" t="s">
        <v>154</v>
      </c>
      <c r="C18" s="596"/>
      <c r="D18" s="2"/>
      <c r="E18" s="66" t="s">
        <v>155</v>
      </c>
      <c r="F18" s="67">
        <v>2000</v>
      </c>
      <c r="G18" s="58"/>
      <c r="H18" s="62"/>
      <c r="I18" s="62"/>
      <c r="J18" s="68"/>
    </row>
    <row r="19" spans="1:10" s="1" customFormat="1" ht="23.25">
      <c r="A19" s="8"/>
      <c r="B19" s="597"/>
      <c r="C19" s="598"/>
      <c r="D19" s="2"/>
      <c r="E19" s="7"/>
      <c r="F19" s="12"/>
      <c r="G19" s="55"/>
      <c r="H19" s="70"/>
      <c r="I19" s="70"/>
      <c r="J19" s="63"/>
    </row>
    <row r="20" spans="1:10" s="1" customFormat="1" ht="23.25">
      <c r="A20" s="8"/>
      <c r="B20" s="597"/>
      <c r="C20" s="598"/>
      <c r="D20" s="2"/>
      <c r="E20" s="7"/>
      <c r="F20" s="12"/>
      <c r="G20" s="55"/>
      <c r="H20" s="70"/>
      <c r="I20" s="70"/>
      <c r="J20" s="63"/>
    </row>
    <row r="21" spans="1:10" s="1" customFormat="1" ht="23.25">
      <c r="A21" s="5" t="s">
        <v>156</v>
      </c>
      <c r="B21" s="2"/>
      <c r="C21" s="2"/>
      <c r="D21" s="2"/>
      <c r="E21" s="10"/>
      <c r="F21" s="45"/>
      <c r="G21" s="58"/>
      <c r="H21" s="62"/>
      <c r="I21" s="62"/>
      <c r="J21" s="63"/>
    </row>
    <row r="22" spans="1:10" s="1" customFormat="1" ht="23.25">
      <c r="A22" s="71"/>
      <c r="B22" s="72"/>
      <c r="C22" s="7"/>
      <c r="D22" s="2"/>
      <c r="E22" s="2"/>
      <c r="F22" s="12"/>
      <c r="G22" s="58"/>
      <c r="H22" s="62"/>
      <c r="I22" s="62"/>
      <c r="J22" s="63"/>
    </row>
    <row r="23" spans="1:10" s="1" customFormat="1" ht="23.25">
      <c r="A23" s="5"/>
      <c r="B23" s="7" t="s">
        <v>92</v>
      </c>
      <c r="C23" s="7"/>
      <c r="D23" s="2"/>
      <c r="E23" s="2"/>
      <c r="F23" s="12"/>
      <c r="G23" s="58"/>
      <c r="H23" s="62"/>
      <c r="I23" s="62"/>
      <c r="J23" s="68"/>
    </row>
    <row r="24" spans="1:12" s="1" customFormat="1" ht="23.25">
      <c r="A24" s="6" t="str">
        <f>'539-6-01276-5'!A24</f>
        <v>ยอดคงเหลือตามบัญชี ณ วันที่    30  เมษายน  2556</v>
      </c>
      <c r="B24" s="3"/>
      <c r="C24" s="3"/>
      <c r="D24" s="3"/>
      <c r="E24" s="3"/>
      <c r="F24" s="73"/>
      <c r="G24" s="592">
        <f>G5-J11</f>
        <v>951.26</v>
      </c>
      <c r="H24" s="593"/>
      <c r="I24" s="593"/>
      <c r="J24" s="594"/>
      <c r="L24" s="91">
        <f>G24-งบทดลอง1!F12</f>
        <v>-1487.9399999999998</v>
      </c>
    </row>
    <row r="25" spans="1:12" s="1" customFormat="1" ht="23.25">
      <c r="A25" s="74"/>
      <c r="B25" s="75"/>
      <c r="C25" s="75"/>
      <c r="D25" s="75"/>
      <c r="E25" s="75"/>
      <c r="F25" s="76"/>
      <c r="G25" s="77"/>
      <c r="H25" s="78"/>
      <c r="I25" s="78"/>
      <c r="J25" s="79"/>
      <c r="K25" s="2"/>
      <c r="L25" s="2"/>
    </row>
    <row r="26" spans="1:12" s="1" customFormat="1" ht="23.25">
      <c r="A26" s="80" t="s">
        <v>157</v>
      </c>
      <c r="B26" s="81"/>
      <c r="C26" s="81"/>
      <c r="D26" s="81"/>
      <c r="E26" s="2"/>
      <c r="F26" s="81"/>
      <c r="G26" s="81"/>
      <c r="H26" s="81"/>
      <c r="I26" s="81"/>
      <c r="J26" s="82"/>
      <c r="K26" s="2"/>
      <c r="L26" s="2"/>
    </row>
    <row r="27" spans="1:12" s="1" customFormat="1" ht="23.25">
      <c r="A27" s="9" t="s">
        <v>158</v>
      </c>
      <c r="B27" s="4"/>
      <c r="C27" s="4"/>
      <c r="D27" s="4"/>
      <c r="E27" s="81"/>
      <c r="F27" s="4"/>
      <c r="G27" s="4"/>
      <c r="H27" s="4"/>
      <c r="I27" s="4"/>
      <c r="J27" s="47"/>
      <c r="K27" s="2"/>
      <c r="L27" s="2"/>
    </row>
    <row r="28" spans="1:12" s="1" customFormat="1" ht="23.25">
      <c r="A28" s="9" t="s">
        <v>159</v>
      </c>
      <c r="B28" s="4"/>
      <c r="C28" s="4"/>
      <c r="D28" s="4"/>
      <c r="E28" s="4"/>
      <c r="F28" s="4"/>
      <c r="G28" s="4"/>
      <c r="H28" s="4"/>
      <c r="I28" s="4"/>
      <c r="J28" s="47"/>
      <c r="K28" s="4"/>
      <c r="L28" s="4"/>
    </row>
    <row r="29" spans="1:12" s="1" customFormat="1" ht="23.25">
      <c r="A29" s="9" t="s">
        <v>377</v>
      </c>
      <c r="B29" s="4"/>
      <c r="C29" s="4"/>
      <c r="D29" s="4"/>
      <c r="E29" s="4"/>
      <c r="F29" s="4"/>
      <c r="G29" s="4"/>
      <c r="H29" s="4"/>
      <c r="I29" s="4"/>
      <c r="J29" s="47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3"/>
      <c r="K30" s="2"/>
      <c r="L30" s="2"/>
    </row>
    <row r="31" s="1" customFormat="1" ht="23.25"/>
  </sheetData>
  <sheetProtection/>
  <mergeCells count="22">
    <mergeCell ref="B19:C19"/>
    <mergeCell ref="B20:C20"/>
    <mergeCell ref="G24:J24"/>
    <mergeCell ref="B17:C17"/>
    <mergeCell ref="B18:C18"/>
    <mergeCell ref="B13:C13"/>
    <mergeCell ref="B14:C14"/>
    <mergeCell ref="B15:C15"/>
    <mergeCell ref="B16:C16"/>
    <mergeCell ref="B12:C12"/>
    <mergeCell ref="A11:F11"/>
    <mergeCell ref="G4:J4"/>
    <mergeCell ref="G5:J5"/>
    <mergeCell ref="B7:C7"/>
    <mergeCell ref="B8:C8"/>
    <mergeCell ref="B6:F6"/>
    <mergeCell ref="A1:F1"/>
    <mergeCell ref="G1:J1"/>
    <mergeCell ref="A2:F3"/>
    <mergeCell ref="G3:J3"/>
    <mergeCell ref="G9:J9"/>
    <mergeCell ref="B10:C10"/>
  </mergeCells>
  <printOptions/>
  <pageMargins left="0.75" right="0.27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J66"/>
  <sheetViews>
    <sheetView view="pageBreakPreview" zoomScaleSheetLayoutView="100" zoomScalePageLayoutView="0" workbookViewId="0" topLeftCell="A19">
      <selection activeCell="B59" sqref="B59:G59"/>
    </sheetView>
  </sheetViews>
  <sheetFormatPr defaultColWidth="9.140625" defaultRowHeight="21.75"/>
  <cols>
    <col min="1" max="1" width="2.28125" style="13" customWidth="1"/>
    <col min="2" max="2" width="5.00390625" style="13" customWidth="1"/>
    <col min="3" max="3" width="14.00390625" style="32" customWidth="1"/>
    <col min="4" max="4" width="14.00390625" style="13" customWidth="1"/>
    <col min="5" max="5" width="13.140625" style="13" customWidth="1"/>
    <col min="6" max="6" width="12.8515625" style="13" customWidth="1"/>
    <col min="7" max="7" width="60.7109375" style="13" customWidth="1"/>
    <col min="8" max="8" width="11.7109375" style="13" customWidth="1"/>
    <col min="9" max="16384" width="9.140625" style="13" customWidth="1"/>
  </cols>
  <sheetData>
    <row r="1" spans="2:8" ht="40.5" customHeight="1">
      <c r="B1" s="14"/>
      <c r="C1" s="15"/>
      <c r="D1" s="14"/>
      <c r="E1" s="14"/>
      <c r="F1" s="14"/>
      <c r="G1" s="14"/>
      <c r="H1" s="16" t="s">
        <v>338</v>
      </c>
    </row>
    <row r="2" spans="2:8" ht="26.25">
      <c r="B2" s="550" t="str">
        <f>งบทดลอง1!A1</f>
        <v>เทศบาลตำบลท่าสาย</v>
      </c>
      <c r="C2" s="550"/>
      <c r="D2" s="550"/>
      <c r="E2" s="550"/>
      <c r="F2" s="550"/>
      <c r="G2" s="550"/>
      <c r="H2" s="550"/>
    </row>
    <row r="3" spans="2:8" ht="26.25">
      <c r="B3" s="550" t="s">
        <v>123</v>
      </c>
      <c r="C3" s="550"/>
      <c r="D3" s="550"/>
      <c r="E3" s="550"/>
      <c r="F3" s="550"/>
      <c r="G3" s="550"/>
      <c r="H3" s="550"/>
    </row>
    <row r="4" spans="2:8" ht="26.25">
      <c r="B4" s="628" t="str">
        <f>งบทดลอง1!A3</f>
        <v>ณ  วันที่   30  เมษายน  2556</v>
      </c>
      <c r="C4" s="628"/>
      <c r="D4" s="628"/>
      <c r="E4" s="628"/>
      <c r="F4" s="628"/>
      <c r="G4" s="628"/>
      <c r="H4" s="628"/>
    </row>
    <row r="5" spans="2:8" ht="22.5" customHeight="1">
      <c r="B5" s="17"/>
      <c r="C5" s="18"/>
      <c r="D5" s="17"/>
      <c r="E5" s="17"/>
      <c r="F5" s="17"/>
      <c r="G5" s="17"/>
      <c r="H5" s="17"/>
    </row>
    <row r="6" spans="2:8" ht="26.25" customHeight="1">
      <c r="B6" s="629" t="s">
        <v>85</v>
      </c>
      <c r="C6" s="89" t="s">
        <v>167</v>
      </c>
      <c r="D6" s="631" t="s">
        <v>125</v>
      </c>
      <c r="E6" s="632"/>
      <c r="F6" s="631" t="s">
        <v>36</v>
      </c>
      <c r="G6" s="632"/>
      <c r="H6" s="629" t="s">
        <v>52</v>
      </c>
    </row>
    <row r="7" spans="2:8" ht="26.25" customHeight="1">
      <c r="B7" s="630"/>
      <c r="C7" s="19" t="s">
        <v>168</v>
      </c>
      <c r="D7" s="633"/>
      <c r="E7" s="634"/>
      <c r="F7" s="633"/>
      <c r="G7" s="634"/>
      <c r="H7" s="630"/>
    </row>
    <row r="8" spans="2:8" ht="26.25" customHeight="1">
      <c r="B8" s="539">
        <v>1</v>
      </c>
      <c r="C8" s="541" t="s">
        <v>598</v>
      </c>
      <c r="D8" s="22" t="s">
        <v>600</v>
      </c>
      <c r="E8" s="88" t="s">
        <v>601</v>
      </c>
      <c r="F8" s="22" t="s">
        <v>602</v>
      </c>
      <c r="G8" s="542"/>
      <c r="H8" s="544">
        <f>79500+32500+626100</f>
        <v>738100</v>
      </c>
    </row>
    <row r="9" spans="2:8" ht="26.25" customHeight="1">
      <c r="B9" s="30"/>
      <c r="C9" s="541" t="s">
        <v>599</v>
      </c>
      <c r="D9" s="540"/>
      <c r="E9" s="542"/>
      <c r="F9" s="543" t="s">
        <v>604</v>
      </c>
      <c r="G9" s="542"/>
      <c r="H9" s="30"/>
    </row>
    <row r="10" spans="2:8" ht="26.25" customHeight="1">
      <c r="B10" s="30"/>
      <c r="C10" s="541"/>
      <c r="D10" s="540"/>
      <c r="E10" s="542"/>
      <c r="F10" s="543" t="s">
        <v>603</v>
      </c>
      <c r="G10" s="542"/>
      <c r="H10" s="30"/>
    </row>
    <row r="11" spans="2:8" ht="26.25" customHeight="1">
      <c r="B11" s="31"/>
      <c r="C11" s="545"/>
      <c r="D11" s="452"/>
      <c r="E11" s="533"/>
      <c r="F11" s="546" t="s">
        <v>605</v>
      </c>
      <c r="G11" s="533"/>
      <c r="H11" s="31"/>
    </row>
    <row r="12" spans="2:8" ht="26.25" customHeight="1">
      <c r="B12" s="30">
        <v>2</v>
      </c>
      <c r="C12" s="541" t="s">
        <v>606</v>
      </c>
      <c r="D12" s="22" t="s">
        <v>608</v>
      </c>
      <c r="E12" s="547" t="s">
        <v>609</v>
      </c>
      <c r="F12" s="635" t="s">
        <v>617</v>
      </c>
      <c r="G12" s="636"/>
      <c r="H12" s="532">
        <v>27000</v>
      </c>
    </row>
    <row r="13" spans="2:8" ht="26.25" customHeight="1">
      <c r="B13" s="31"/>
      <c r="C13" s="545" t="s">
        <v>607</v>
      </c>
      <c r="D13" s="452"/>
      <c r="E13" s="533"/>
      <c r="F13" s="452"/>
      <c r="G13" s="533"/>
      <c r="H13" s="31"/>
    </row>
    <row r="14" spans="2:8" ht="26.25" customHeight="1">
      <c r="B14" s="30">
        <v>3</v>
      </c>
      <c r="C14" s="541" t="s">
        <v>610</v>
      </c>
      <c r="D14" s="286" t="s">
        <v>611</v>
      </c>
      <c r="E14" s="288" t="s">
        <v>612</v>
      </c>
      <c r="F14" s="635" t="s">
        <v>613</v>
      </c>
      <c r="G14" s="636"/>
      <c r="H14" s="532">
        <v>15000</v>
      </c>
    </row>
    <row r="15" spans="2:8" ht="26.25" customHeight="1">
      <c r="B15" s="31"/>
      <c r="C15" s="545" t="s">
        <v>607</v>
      </c>
      <c r="D15" s="452"/>
      <c r="E15" s="533"/>
      <c r="F15" s="452"/>
      <c r="G15" s="533"/>
      <c r="H15" s="31"/>
    </row>
    <row r="16" spans="2:8" ht="26.25" customHeight="1">
      <c r="B16" s="30">
        <v>4</v>
      </c>
      <c r="C16" s="541" t="s">
        <v>614</v>
      </c>
      <c r="D16" s="22" t="s">
        <v>615</v>
      </c>
      <c r="E16" s="547" t="s">
        <v>616</v>
      </c>
      <c r="F16" s="635" t="s">
        <v>613</v>
      </c>
      <c r="G16" s="636"/>
      <c r="H16" s="532">
        <v>15000</v>
      </c>
    </row>
    <row r="17" spans="2:8" ht="26.25" customHeight="1">
      <c r="B17" s="31"/>
      <c r="C17" s="545" t="s">
        <v>607</v>
      </c>
      <c r="D17" s="452"/>
      <c r="E17" s="533"/>
      <c r="F17" s="452"/>
      <c r="G17" s="533"/>
      <c r="H17" s="31"/>
    </row>
    <row r="18" spans="2:8" ht="26.25" customHeight="1">
      <c r="B18" s="30">
        <v>5</v>
      </c>
      <c r="C18" s="541" t="s">
        <v>618</v>
      </c>
      <c r="D18" s="22" t="s">
        <v>619</v>
      </c>
      <c r="E18" s="547" t="s">
        <v>620</v>
      </c>
      <c r="F18" s="635" t="s">
        <v>613</v>
      </c>
      <c r="G18" s="636"/>
      <c r="H18" s="532">
        <v>15000</v>
      </c>
    </row>
    <row r="19" spans="2:8" ht="26.25" customHeight="1">
      <c r="B19" s="31"/>
      <c r="C19" s="545" t="s">
        <v>607</v>
      </c>
      <c r="D19" s="452"/>
      <c r="E19" s="533"/>
      <c r="F19" s="452"/>
      <c r="G19" s="533"/>
      <c r="H19" s="31"/>
    </row>
    <row r="20" spans="2:8" ht="23.25">
      <c r="B20" s="306">
        <v>6</v>
      </c>
      <c r="C20" s="320" t="s">
        <v>621</v>
      </c>
      <c r="D20" s="286" t="s">
        <v>542</v>
      </c>
      <c r="E20" s="288" t="s">
        <v>543</v>
      </c>
      <c r="F20" s="635" t="s">
        <v>625</v>
      </c>
      <c r="G20" s="636"/>
      <c r="H20" s="321">
        <v>13760</v>
      </c>
    </row>
    <row r="21" spans="2:9" ht="23.25">
      <c r="B21" s="452"/>
      <c r="C21" s="545" t="s">
        <v>607</v>
      </c>
      <c r="D21" s="21" t="s">
        <v>307</v>
      </c>
      <c r="E21" s="20"/>
      <c r="F21" s="21"/>
      <c r="G21" s="523"/>
      <c r="H21" s="43"/>
      <c r="I21" s="13">
        <f>13760+13760+753960-13760-1400-738800-13760-13760</f>
        <v>0</v>
      </c>
    </row>
    <row r="22" spans="2:8" ht="23.25">
      <c r="B22" s="306">
        <v>7</v>
      </c>
      <c r="C22" s="320" t="s">
        <v>622</v>
      </c>
      <c r="D22" s="22" t="s">
        <v>608</v>
      </c>
      <c r="E22" s="547" t="s">
        <v>609</v>
      </c>
      <c r="F22" s="635" t="s">
        <v>624</v>
      </c>
      <c r="G22" s="636"/>
      <c r="H22" s="321">
        <v>1080</v>
      </c>
    </row>
    <row r="23" spans="2:8" ht="23.25">
      <c r="B23" s="452"/>
      <c r="C23" s="545" t="s">
        <v>623</v>
      </c>
      <c r="D23" s="21" t="s">
        <v>307</v>
      </c>
      <c r="E23" s="20"/>
      <c r="F23" s="21"/>
      <c r="G23" s="523"/>
      <c r="H23" s="43"/>
    </row>
    <row r="24" spans="2:9" ht="24" thickBot="1">
      <c r="B24" s="640" t="s">
        <v>84</v>
      </c>
      <c r="C24" s="638"/>
      <c r="D24" s="638"/>
      <c r="E24" s="638"/>
      <c r="F24" s="638"/>
      <c r="G24" s="639"/>
      <c r="H24" s="44">
        <f>SUM(H8:H23)</f>
        <v>824940</v>
      </c>
      <c r="I24" s="13">
        <f>738800+1400+13760</f>
        <v>753960</v>
      </c>
    </row>
    <row r="25" spans="2:9" ht="24" thickTop="1">
      <c r="B25" s="23"/>
      <c r="C25" s="108"/>
      <c r="D25" s="23"/>
      <c r="E25" s="23"/>
      <c r="F25" s="23"/>
      <c r="G25" s="23"/>
      <c r="H25" s="24"/>
      <c r="I25" s="13">
        <f>740200+13760-825960</f>
        <v>-72000</v>
      </c>
    </row>
    <row r="26" spans="2:8" ht="23.25">
      <c r="B26" s="23"/>
      <c r="C26" s="108"/>
      <c r="D26" s="23"/>
      <c r="E26" s="23"/>
      <c r="F26" s="23"/>
      <c r="G26" s="23"/>
      <c r="H26" s="24"/>
    </row>
    <row r="27" spans="2:8" ht="23.25">
      <c r="B27" s="23"/>
      <c r="C27" s="108"/>
      <c r="D27" s="23"/>
      <c r="E27" s="23"/>
      <c r="F27" s="23"/>
      <c r="G27" s="23"/>
      <c r="H27" s="24"/>
    </row>
    <row r="28" spans="1:6" s="14" customFormat="1" ht="23.25">
      <c r="A28" s="33"/>
      <c r="B28" s="90"/>
      <c r="C28" s="296"/>
      <c r="D28" s="90"/>
      <c r="E28" s="90"/>
      <c r="F28" s="90"/>
    </row>
    <row r="29" spans="1:6" s="14" customFormat="1" ht="23.25">
      <c r="A29" s="33"/>
      <c r="B29" s="33"/>
      <c r="C29" s="296"/>
      <c r="D29" s="90"/>
      <c r="E29" s="90"/>
      <c r="F29" s="90"/>
    </row>
    <row r="30" spans="1:6" s="14" customFormat="1" ht="23.25">
      <c r="A30" s="33"/>
      <c r="B30" s="33"/>
      <c r="C30" s="296"/>
      <c r="D30" s="90"/>
      <c r="E30" s="90"/>
      <c r="F30" s="90"/>
    </row>
    <row r="31" spans="2:8" ht="21.75">
      <c r="B31" s="28"/>
      <c r="C31" s="297"/>
      <c r="D31" s="28"/>
      <c r="E31" s="28"/>
      <c r="F31" s="28"/>
      <c r="G31" s="29"/>
      <c r="H31" s="29"/>
    </row>
    <row r="32" spans="2:7" ht="23.25">
      <c r="B32" s="14"/>
      <c r="C32" s="15"/>
      <c r="D32" s="14"/>
      <c r="E32" s="14"/>
      <c r="F32" s="14"/>
      <c r="G32" s="14"/>
    </row>
    <row r="33" spans="2:8" ht="23.25">
      <c r="B33" s="14"/>
      <c r="C33" s="15"/>
      <c r="D33" s="14"/>
      <c r="E33" s="14"/>
      <c r="F33" s="14"/>
      <c r="G33" s="14"/>
      <c r="H33" s="16"/>
    </row>
    <row r="34" spans="2:8" ht="23.25">
      <c r="B34" s="14"/>
      <c r="C34" s="15"/>
      <c r="D34" s="14"/>
      <c r="E34" s="14"/>
      <c r="F34" s="14"/>
      <c r="G34" s="14"/>
      <c r="H34" s="16"/>
    </row>
    <row r="35" spans="2:8" ht="23.25">
      <c r="B35" s="14"/>
      <c r="C35" s="15"/>
      <c r="D35" s="14"/>
      <c r="E35" s="14"/>
      <c r="F35" s="14"/>
      <c r="G35" s="14"/>
      <c r="H35" s="16"/>
    </row>
    <row r="36" spans="2:8" ht="23.25">
      <c r="B36" s="14"/>
      <c r="C36" s="15"/>
      <c r="D36" s="14"/>
      <c r="E36" s="14"/>
      <c r="F36" s="14"/>
      <c r="G36" s="14"/>
      <c r="H36" s="16"/>
    </row>
    <row r="37" spans="2:7" ht="24" customHeight="1">
      <c r="B37" s="14"/>
      <c r="C37" s="15"/>
      <c r="D37" s="14"/>
      <c r="E37" s="14"/>
      <c r="F37" s="14"/>
      <c r="G37" s="14"/>
    </row>
    <row r="38" spans="2:8" ht="24" customHeight="1">
      <c r="B38" s="14"/>
      <c r="C38" s="15"/>
      <c r="D38" s="14"/>
      <c r="E38" s="14"/>
      <c r="F38" s="14"/>
      <c r="G38" s="14"/>
      <c r="H38" s="16"/>
    </row>
    <row r="39" spans="2:8" ht="24" customHeight="1">
      <c r="B39" s="14"/>
      <c r="C39" s="15"/>
      <c r="D39" s="14"/>
      <c r="E39" s="14"/>
      <c r="F39" s="14"/>
      <c r="G39" s="14"/>
      <c r="H39" s="16"/>
    </row>
    <row r="40" spans="2:8" ht="24" customHeight="1">
      <c r="B40" s="14"/>
      <c r="C40" s="15"/>
      <c r="D40" s="14"/>
      <c r="E40" s="14"/>
      <c r="F40" s="14"/>
      <c r="G40" s="14"/>
      <c r="H40" s="16"/>
    </row>
    <row r="41" spans="2:8" ht="24" customHeight="1">
      <c r="B41" s="14"/>
      <c r="C41" s="15"/>
      <c r="D41" s="14"/>
      <c r="E41" s="14"/>
      <c r="F41" s="14"/>
      <c r="G41" s="14"/>
      <c r="H41" s="16"/>
    </row>
    <row r="42" spans="2:8" ht="24" customHeight="1">
      <c r="B42" s="14"/>
      <c r="C42" s="15"/>
      <c r="D42" s="14"/>
      <c r="E42" s="14"/>
      <c r="F42" s="14"/>
      <c r="G42" s="14"/>
      <c r="H42" s="16"/>
    </row>
    <row r="43" spans="2:8" ht="24" customHeight="1">
      <c r="B43" s="14"/>
      <c r="C43" s="15"/>
      <c r="D43" s="14"/>
      <c r="E43" s="14"/>
      <c r="F43" s="14"/>
      <c r="G43" s="14"/>
      <c r="H43" s="16"/>
    </row>
    <row r="44" spans="2:8" ht="31.5" customHeight="1">
      <c r="B44" s="14"/>
      <c r="C44" s="15"/>
      <c r="D44" s="14"/>
      <c r="E44" s="14"/>
      <c r="F44" s="14"/>
      <c r="G44" s="14"/>
      <c r="H44" s="16" t="s">
        <v>115</v>
      </c>
    </row>
    <row r="45" spans="2:8" ht="26.25">
      <c r="B45" s="550" t="str">
        <f>งบทดลอง1!A1</f>
        <v>เทศบาลตำบลท่าสาย</v>
      </c>
      <c r="C45" s="550"/>
      <c r="D45" s="550"/>
      <c r="E45" s="550"/>
      <c r="F45" s="550"/>
      <c r="G45" s="550"/>
      <c r="H45" s="550"/>
    </row>
    <row r="46" spans="2:10" ht="26.25">
      <c r="B46" s="550" t="s">
        <v>103</v>
      </c>
      <c r="C46" s="550"/>
      <c r="D46" s="550"/>
      <c r="E46" s="550"/>
      <c r="F46" s="550"/>
      <c r="G46" s="550"/>
      <c r="H46" s="550"/>
      <c r="I46" s="28"/>
      <c r="J46" s="28"/>
    </row>
    <row r="47" spans="2:10" ht="26.25">
      <c r="B47" s="628" t="str">
        <f>งบทดลอง1!A3</f>
        <v>ณ  วันที่   30  เมษายน  2556</v>
      </c>
      <c r="C47" s="628"/>
      <c r="D47" s="628"/>
      <c r="E47" s="628"/>
      <c r="F47" s="628"/>
      <c r="G47" s="628"/>
      <c r="H47" s="628"/>
      <c r="I47" s="28"/>
      <c r="J47" s="28"/>
    </row>
    <row r="48" spans="2:10" ht="26.25">
      <c r="B48" s="17"/>
      <c r="C48" s="18"/>
      <c r="D48" s="17"/>
      <c r="E48" s="17"/>
      <c r="F48" s="17"/>
      <c r="G48" s="17"/>
      <c r="H48" s="17"/>
      <c r="I48" s="28"/>
      <c r="J48" s="28"/>
    </row>
    <row r="49" spans="2:8" ht="23.25">
      <c r="B49" s="629" t="s">
        <v>85</v>
      </c>
      <c r="C49" s="89" t="s">
        <v>167</v>
      </c>
      <c r="D49" s="631" t="s">
        <v>125</v>
      </c>
      <c r="E49" s="632"/>
      <c r="F49" s="631" t="s">
        <v>36</v>
      </c>
      <c r="G49" s="632"/>
      <c r="H49" s="629" t="s">
        <v>52</v>
      </c>
    </row>
    <row r="50" spans="2:8" ht="23.25">
      <c r="B50" s="629"/>
      <c r="C50" s="19" t="s">
        <v>168</v>
      </c>
      <c r="D50" s="633"/>
      <c r="E50" s="634"/>
      <c r="F50" s="633"/>
      <c r="G50" s="634"/>
      <c r="H50" s="629"/>
    </row>
    <row r="51" spans="2:8" ht="23.25">
      <c r="B51" s="30">
        <v>1</v>
      </c>
      <c r="C51" s="295" t="s">
        <v>626</v>
      </c>
      <c r="D51" s="88" t="s">
        <v>628</v>
      </c>
      <c r="E51" s="88" t="s">
        <v>629</v>
      </c>
      <c r="F51" s="22" t="s">
        <v>630</v>
      </c>
      <c r="G51" s="528"/>
      <c r="H51" s="532">
        <v>26000</v>
      </c>
    </row>
    <row r="52" spans="2:8" ht="23.25">
      <c r="B52" s="31"/>
      <c r="C52" s="298" t="s">
        <v>627</v>
      </c>
      <c r="D52" s="533"/>
      <c r="E52" s="533"/>
      <c r="F52" s="21" t="s">
        <v>631</v>
      </c>
      <c r="G52" s="529"/>
      <c r="H52" s="31"/>
    </row>
    <row r="53" spans="2:8" ht="23.25">
      <c r="B53" s="30">
        <v>2</v>
      </c>
      <c r="C53" s="295" t="s">
        <v>632</v>
      </c>
      <c r="D53" s="88" t="s">
        <v>633</v>
      </c>
      <c r="E53" s="88" t="s">
        <v>634</v>
      </c>
      <c r="F53" s="22" t="s">
        <v>635</v>
      </c>
      <c r="G53" s="528"/>
      <c r="H53" s="532">
        <v>23800</v>
      </c>
    </row>
    <row r="54" spans="2:8" ht="23.25">
      <c r="B54" s="31"/>
      <c r="C54" s="298" t="s">
        <v>627</v>
      </c>
      <c r="D54" s="452"/>
      <c r="E54" s="533"/>
      <c r="F54" s="21"/>
      <c r="G54" s="529"/>
      <c r="H54" s="31"/>
    </row>
    <row r="55" spans="2:8" ht="23.25">
      <c r="B55" s="30">
        <v>3</v>
      </c>
      <c r="C55" s="295" t="s">
        <v>636</v>
      </c>
      <c r="D55" s="88" t="s">
        <v>637</v>
      </c>
      <c r="E55" s="88" t="s">
        <v>638</v>
      </c>
      <c r="F55" s="22" t="s">
        <v>639</v>
      </c>
      <c r="G55" s="528"/>
      <c r="H55" s="532">
        <v>49176</v>
      </c>
    </row>
    <row r="56" spans="2:8" ht="23.25">
      <c r="B56" s="31"/>
      <c r="C56" s="298" t="s">
        <v>646</v>
      </c>
      <c r="D56" s="533"/>
      <c r="E56" s="533"/>
      <c r="F56" s="452"/>
      <c r="G56" s="529"/>
      <c r="H56" s="31"/>
    </row>
    <row r="57" spans="2:8" ht="23.25">
      <c r="B57" s="30">
        <v>4</v>
      </c>
      <c r="C57" s="295" t="s">
        <v>640</v>
      </c>
      <c r="D57" s="88" t="s">
        <v>642</v>
      </c>
      <c r="E57" s="88" t="s">
        <v>643</v>
      </c>
      <c r="F57" s="22" t="s">
        <v>644</v>
      </c>
      <c r="G57" s="528"/>
      <c r="H57" s="532">
        <v>24000</v>
      </c>
    </row>
    <row r="58" spans="2:8" ht="23.25">
      <c r="B58" s="31"/>
      <c r="C58" s="298" t="s">
        <v>641</v>
      </c>
      <c r="D58" s="533"/>
      <c r="E58" s="533"/>
      <c r="F58" s="452"/>
      <c r="G58" s="529"/>
      <c r="H58" s="31"/>
    </row>
    <row r="59" spans="2:8" ht="24" thickBot="1">
      <c r="B59" s="637" t="s">
        <v>84</v>
      </c>
      <c r="C59" s="638"/>
      <c r="D59" s="638"/>
      <c r="E59" s="638"/>
      <c r="F59" s="638"/>
      <c r="G59" s="639"/>
      <c r="H59" s="44">
        <f>SUM(H51:H57)</f>
        <v>122976</v>
      </c>
    </row>
    <row r="60" spans="2:8" ht="24" thickTop="1">
      <c r="B60" s="23"/>
      <c r="C60" s="23"/>
      <c r="D60" s="23"/>
      <c r="E60" s="23"/>
      <c r="F60" s="23"/>
      <c r="G60" s="23"/>
      <c r="H60" s="299"/>
    </row>
    <row r="61" spans="2:8" ht="23.25">
      <c r="B61" s="23"/>
      <c r="C61" s="23"/>
      <c r="D61" s="23"/>
      <c r="E61" s="23"/>
      <c r="F61" s="23"/>
      <c r="G61" s="23"/>
      <c r="H61" s="299"/>
    </row>
    <row r="62" spans="2:8" ht="23.25">
      <c r="B62" s="23"/>
      <c r="C62" s="23"/>
      <c r="D62" s="23"/>
      <c r="E62" s="23"/>
      <c r="F62" s="23"/>
      <c r="G62" s="23"/>
      <c r="H62" s="299"/>
    </row>
    <row r="63" spans="2:8" ht="23.25">
      <c r="B63" s="25"/>
      <c r="C63" s="26"/>
      <c r="D63" s="25"/>
      <c r="E63" s="25"/>
      <c r="F63" s="25"/>
      <c r="G63" s="25"/>
      <c r="H63" s="27"/>
    </row>
    <row r="64" spans="1:6" s="14" customFormat="1" ht="23.25">
      <c r="A64" s="33"/>
      <c r="B64" s="33"/>
      <c r="C64" s="296"/>
      <c r="D64" s="90"/>
      <c r="E64" s="90"/>
      <c r="F64" s="90"/>
    </row>
    <row r="65" spans="1:6" s="14" customFormat="1" ht="23.25">
      <c r="A65" s="33"/>
      <c r="B65" s="33"/>
      <c r="C65" s="296"/>
      <c r="D65" s="90"/>
      <c r="E65" s="90"/>
      <c r="F65" s="90"/>
    </row>
    <row r="66" spans="2:8" ht="21.75">
      <c r="B66" s="28"/>
      <c r="C66" s="297"/>
      <c r="D66" s="28"/>
      <c r="E66" s="28"/>
      <c r="F66" s="28"/>
      <c r="G66" s="28"/>
      <c r="H66" s="28"/>
    </row>
    <row r="67" ht="41.25" customHeight="1"/>
  </sheetData>
  <sheetProtection/>
  <mergeCells count="22">
    <mergeCell ref="F14:G14"/>
    <mergeCell ref="F16:G16"/>
    <mergeCell ref="F18:G18"/>
    <mergeCell ref="F49:G50"/>
    <mergeCell ref="F20:G20"/>
    <mergeCell ref="B24:G24"/>
    <mergeCell ref="B59:G59"/>
    <mergeCell ref="B46:H46"/>
    <mergeCell ref="B47:H47"/>
    <mergeCell ref="H49:H50"/>
    <mergeCell ref="B49:B50"/>
    <mergeCell ref="D49:E50"/>
    <mergeCell ref="B2:H2"/>
    <mergeCell ref="B3:H3"/>
    <mergeCell ref="B4:H4"/>
    <mergeCell ref="B6:B7"/>
    <mergeCell ref="D6:E7"/>
    <mergeCell ref="B45:H45"/>
    <mergeCell ref="H6:H7"/>
    <mergeCell ref="F6:G7"/>
    <mergeCell ref="F22:G22"/>
    <mergeCell ref="F12:G12"/>
  </mergeCells>
  <printOptions/>
  <pageMargins left="0.27" right="0.1968503937007874" top="0.13" bottom="0.11811023622047245" header="0.35" footer="0.3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FasterUser</cp:lastModifiedBy>
  <cp:lastPrinted>2013-05-23T07:29:40Z</cp:lastPrinted>
  <dcterms:created xsi:type="dcterms:W3CDTF">2003-08-05T04:05:04Z</dcterms:created>
  <dcterms:modified xsi:type="dcterms:W3CDTF">2013-05-23T09:48:21Z</dcterms:modified>
  <cp:category/>
  <cp:version/>
  <cp:contentType/>
  <cp:contentStatus/>
</cp:coreProperties>
</file>